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willys/Library/CloudStorage/GoogleDrive-gustavo.willys.c@gmail.com/Meu Drive/"/>
    </mc:Choice>
  </mc:AlternateContent>
  <xr:revisionPtr revIDLastSave="0" documentId="13_ncr:1_{A42CFB22-84A0-D347-AA9D-3A5A686FCCF2}" xr6:coauthVersionLast="47" xr6:coauthVersionMax="47" xr10:uidLastSave="{00000000-0000-0000-0000-000000000000}"/>
  <bookViews>
    <workbookView xWindow="0" yWindow="500" windowWidth="33600" windowHeight="20500" xr2:uid="{5A9BE9B4-A698-A046-BC15-3712F36838AB}"/>
  </bookViews>
  <sheets>
    <sheet name="Instrução de Uso" sheetId="8" r:id="rId1"/>
    <sheet name="Dashboard" sheetId="6" r:id="rId2"/>
    <sheet name="DI_Dashboard" sheetId="7" state="hidden" r:id="rId3"/>
    <sheet name="Fluxo de Caixa" sheetId="3" r:id="rId4"/>
    <sheet name="Lançamentos" sheetId="1" r:id="rId5"/>
    <sheet name="Filtros" sheetId="2" r:id="rId6"/>
  </sheets>
  <definedNames>
    <definedName name="ls_filtro_banco">Tabela3[Instituição]</definedName>
    <definedName name="ls_filtro_item">tb_filtro_item[Item Nomenclatura]</definedName>
    <definedName name="SegmentaçãodeDados_Ano">#N/A</definedName>
    <definedName name="SegmentaçãodeDados_Categoria">#N/A</definedName>
    <definedName name="SegmentaçãodeDados_Conta">#N/A</definedName>
    <definedName name="SegmentaçãodeDados_Fluxo">#N/A</definedName>
    <definedName name="SegmentaçãodeDados_Mês">#N/A</definedName>
    <definedName name="SegmentaçãodeDados_Status_Valor">#N/A</definedName>
  </definedNames>
  <calcPr calcId="191029"/>
  <pivotCaches>
    <pivotCache cacheId="0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  <x14:slicerCache r:id="rId10"/>
        <x14:slicerCache r:id="rId11"/>
        <x14:slicerCache r:id="rId12"/>
        <x14:slicerCache r:id="rId1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L24" i="1"/>
  <c r="M24" i="1"/>
  <c r="N24" i="1"/>
  <c r="B15" i="2"/>
  <c r="B16" i="2"/>
  <c r="B17" i="2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D15" i="1"/>
  <c r="K15" i="1" s="1"/>
  <c r="N15" i="1"/>
  <c r="N16" i="1"/>
  <c r="N17" i="1"/>
  <c r="N18" i="1"/>
  <c r="N19" i="1"/>
  <c r="N20" i="1"/>
  <c r="N21" i="1"/>
  <c r="N22" i="1"/>
  <c r="N23" i="1"/>
  <c r="K14" i="1"/>
  <c r="N14" i="1"/>
  <c r="K13" i="1"/>
  <c r="N13" i="1"/>
  <c r="K6" i="1"/>
  <c r="N6" i="1"/>
  <c r="K7" i="1"/>
  <c r="N7" i="1"/>
  <c r="C8" i="3"/>
  <c r="K12" i="1"/>
  <c r="N12" i="1"/>
  <c r="N8" i="1"/>
  <c r="N9" i="1"/>
  <c r="N10" i="1"/>
  <c r="N11" i="1"/>
  <c r="K10" i="1"/>
  <c r="K11" i="1"/>
  <c r="K8" i="1"/>
  <c r="K9" i="1"/>
  <c r="E8" i="3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B13" i="2"/>
  <c r="B14" i="2"/>
  <c r="B10" i="2"/>
  <c r="B11" i="2"/>
  <c r="B12" i="2"/>
  <c r="B25" i="2"/>
  <c r="B24" i="2"/>
  <c r="B19" i="2"/>
  <c r="B20" i="2"/>
  <c r="D16" i="1" l="1"/>
  <c r="D17" i="1" l="1"/>
  <c r="K16" i="1"/>
  <c r="K17" i="1" l="1"/>
  <c r="D18" i="1"/>
  <c r="K18" i="1" l="1"/>
  <c r="D19" i="1"/>
  <c r="D20" i="1" l="1"/>
  <c r="K19" i="1"/>
  <c r="B7" i="2"/>
  <c r="B8" i="2"/>
  <c r="B9" i="2"/>
  <c r="B18" i="2"/>
  <c r="B21" i="2"/>
  <c r="B22" i="2"/>
  <c r="B23" i="2"/>
  <c r="B26" i="2"/>
  <c r="B27" i="2"/>
  <c r="B28" i="2"/>
  <c r="B29" i="2"/>
  <c r="B30" i="2"/>
  <c r="H6" i="1" l="1"/>
  <c r="H24" i="1"/>
  <c r="I24" i="1"/>
  <c r="J24" i="1"/>
  <c r="H22" i="1"/>
  <c r="I21" i="1"/>
  <c r="J20" i="1"/>
  <c r="H13" i="1"/>
  <c r="H12" i="1"/>
  <c r="H15" i="1"/>
  <c r="H23" i="1"/>
  <c r="I22" i="1"/>
  <c r="J21" i="1"/>
  <c r="I13" i="1"/>
  <c r="I12" i="1"/>
  <c r="H16" i="1"/>
  <c r="I15" i="1"/>
  <c r="I23" i="1"/>
  <c r="J22" i="1"/>
  <c r="J13" i="1"/>
  <c r="H7" i="1"/>
  <c r="J12" i="1"/>
  <c r="H17" i="1"/>
  <c r="I16" i="1"/>
  <c r="J15" i="1"/>
  <c r="J23" i="1"/>
  <c r="H14" i="1"/>
  <c r="I7" i="1"/>
  <c r="H18" i="1"/>
  <c r="I17" i="1"/>
  <c r="J16" i="1"/>
  <c r="I14" i="1"/>
  <c r="J7" i="1"/>
  <c r="H19" i="1"/>
  <c r="I18" i="1"/>
  <c r="J17" i="1"/>
  <c r="J14" i="1"/>
  <c r="H20" i="1"/>
  <c r="I19" i="1"/>
  <c r="J18" i="1"/>
  <c r="I6" i="1"/>
  <c r="H21" i="1"/>
  <c r="I20" i="1"/>
  <c r="J19" i="1"/>
  <c r="J6" i="1"/>
  <c r="K20" i="1"/>
  <c r="D21" i="1"/>
  <c r="H11" i="1"/>
  <c r="J11" i="1"/>
  <c r="H9" i="1"/>
  <c r="I10" i="1"/>
  <c r="J8" i="1"/>
  <c r="I11" i="1"/>
  <c r="J9" i="1"/>
  <c r="I8" i="1"/>
  <c r="I9" i="1"/>
  <c r="H10" i="1"/>
  <c r="J10" i="1"/>
  <c r="H8" i="1"/>
  <c r="P24" i="1" l="1"/>
  <c r="O24" i="1"/>
  <c r="H10" i="3"/>
  <c r="C10" i="3"/>
  <c r="J10" i="3"/>
  <c r="C9" i="3"/>
  <c r="I10" i="3"/>
  <c r="N10" i="3"/>
  <c r="O10" i="3"/>
  <c r="P10" i="3"/>
  <c r="K10" i="3"/>
  <c r="E10" i="3"/>
  <c r="F10" i="3"/>
  <c r="M10" i="3"/>
  <c r="L10" i="3"/>
  <c r="G10" i="3"/>
  <c r="O18" i="1"/>
  <c r="P18" i="1"/>
  <c r="P21" i="1"/>
  <c r="O21" i="1"/>
  <c r="O14" i="1"/>
  <c r="P14" i="1"/>
  <c r="P23" i="1"/>
  <c r="O23" i="1"/>
  <c r="O19" i="1"/>
  <c r="P19" i="1"/>
  <c r="O15" i="1"/>
  <c r="P15" i="1"/>
  <c r="O7" i="1"/>
  <c r="P7" i="1"/>
  <c r="O12" i="1"/>
  <c r="P12" i="1"/>
  <c r="O13" i="1"/>
  <c r="P13" i="1"/>
  <c r="O16" i="1"/>
  <c r="P16" i="1"/>
  <c r="O20" i="1"/>
  <c r="P20" i="1"/>
  <c r="O17" i="1"/>
  <c r="P17" i="1"/>
  <c r="O6" i="1"/>
  <c r="P6" i="1"/>
  <c r="P22" i="1"/>
  <c r="O22" i="1"/>
  <c r="K21" i="1"/>
  <c r="D22" i="1"/>
  <c r="O11" i="1"/>
  <c r="P11" i="1"/>
  <c r="P9" i="1"/>
  <c r="O9" i="1"/>
  <c r="P8" i="1"/>
  <c r="O8" i="1"/>
  <c r="O10" i="1"/>
  <c r="P10" i="1"/>
  <c r="K9" i="3" l="1"/>
  <c r="F9" i="3"/>
  <c r="N9" i="3"/>
  <c r="D10" i="3"/>
  <c r="K22" i="1"/>
  <c r="J9" i="3" s="1"/>
  <c r="K23" i="1"/>
  <c r="M9" i="3" l="1"/>
  <c r="P9" i="3"/>
  <c r="O9" i="3"/>
  <c r="I9" i="3"/>
  <c r="H9" i="3"/>
  <c r="E9" i="3"/>
  <c r="G9" i="3"/>
  <c r="L9" i="3"/>
  <c r="K11" i="3"/>
  <c r="D9" i="3" l="1"/>
  <c r="H11" i="3"/>
  <c r="M11" i="3"/>
  <c r="I11" i="3"/>
  <c r="O11" i="3"/>
  <c r="C11" i="3"/>
  <c r="G11" i="3"/>
  <c r="E11" i="3"/>
  <c r="N11" i="3"/>
  <c r="J11" i="3"/>
  <c r="P11" i="3"/>
  <c r="L11" i="3"/>
  <c r="F11" i="3"/>
  <c r="E13" i="3" l="1"/>
  <c r="F13" i="3" s="1"/>
  <c r="G13" i="3" s="1"/>
  <c r="H13" i="3" s="1"/>
  <c r="I13" i="3" s="1"/>
  <c r="J13" i="3" s="1"/>
  <c r="K13" i="3" s="1"/>
  <c r="L13" i="3" s="1"/>
  <c r="M13" i="3" s="1"/>
  <c r="N13" i="3" s="1"/>
  <c r="O13" i="3" s="1"/>
  <c r="P13" i="3" s="1"/>
  <c r="D13" i="3" s="1"/>
  <c r="D11" i="3"/>
</calcChain>
</file>

<file path=xl/sharedStrings.xml><?xml version="1.0" encoding="utf-8"?>
<sst xmlns="http://schemas.openxmlformats.org/spreadsheetml/2006/main" count="248" uniqueCount="111">
  <si>
    <t>Item</t>
  </si>
  <si>
    <t>Valor</t>
  </si>
  <si>
    <t>Fluxo</t>
  </si>
  <si>
    <t>Conta</t>
  </si>
  <si>
    <t>Status Valor</t>
  </si>
  <si>
    <t>Item Nomenclatura</t>
  </si>
  <si>
    <t>Categoria</t>
  </si>
  <si>
    <t>Subcategoria</t>
  </si>
  <si>
    <t>Receita</t>
  </si>
  <si>
    <t>Despesa</t>
  </si>
  <si>
    <t>Matéria Prima</t>
  </si>
  <si>
    <t>Fornecedores</t>
  </si>
  <si>
    <t>FGTS</t>
  </si>
  <si>
    <t>Telefone</t>
  </si>
  <si>
    <t>Férias</t>
  </si>
  <si>
    <t>Vale Transporte</t>
  </si>
  <si>
    <t>Vale Alimentação</t>
  </si>
  <si>
    <t>Vale Refeição</t>
  </si>
  <si>
    <t>13° Salário</t>
  </si>
  <si>
    <t>INSS a Recolher</t>
  </si>
  <si>
    <t>Aluguel</t>
  </si>
  <si>
    <t>Energia Elétrica</t>
  </si>
  <si>
    <t>Água</t>
  </si>
  <si>
    <t>(D) - Matéria Prima</t>
  </si>
  <si>
    <t>Movimentação</t>
  </si>
  <si>
    <t>Em espécie</t>
  </si>
  <si>
    <t>Realizado</t>
  </si>
  <si>
    <t>Vendas</t>
  </si>
  <si>
    <t>Descrição</t>
  </si>
  <si>
    <t>Produto 001 - 10 Unidades</t>
  </si>
  <si>
    <t>Produto 020 - 5 Unidades</t>
  </si>
  <si>
    <t>Ano</t>
  </si>
  <si>
    <t>Saldo Atual</t>
  </si>
  <si>
    <t>Saldo</t>
  </si>
  <si>
    <t>(D) - Aluguel</t>
  </si>
  <si>
    <t>Dt Caixa</t>
  </si>
  <si>
    <t>Status</t>
  </si>
  <si>
    <t>Provisão</t>
  </si>
  <si>
    <t>Filtro Status</t>
  </si>
  <si>
    <t>Todos</t>
  </si>
  <si>
    <t>Observação</t>
  </si>
  <si>
    <t>Ag: 0001 / CC: 00000-00</t>
  </si>
  <si>
    <t>Cofre/Caixa</t>
  </si>
  <si>
    <t>Saldo Acumulado</t>
  </si>
  <si>
    <t>Saldo Mês</t>
  </si>
  <si>
    <t>-</t>
  </si>
  <si>
    <t>Racional Interno - Dashboard</t>
  </si>
  <si>
    <t>Rótulos de Linha</t>
  </si>
  <si>
    <t>Total Geral</t>
  </si>
  <si>
    <t>Soma de Receita</t>
  </si>
  <si>
    <t>Soma de Despesa</t>
  </si>
  <si>
    <t>Soma de tbd_saldo</t>
  </si>
  <si>
    <t>Receita e Despesa</t>
  </si>
  <si>
    <t xml:space="preserve">Receita </t>
  </si>
  <si>
    <t xml:space="preserve">Despesa </t>
  </si>
  <si>
    <t>Mês</t>
  </si>
  <si>
    <t>Receita Mensal</t>
  </si>
  <si>
    <t>Despesa Mensal</t>
  </si>
  <si>
    <t>Abertura Itens</t>
  </si>
  <si>
    <t>Soma de Valor</t>
  </si>
  <si>
    <t>Pessoal</t>
  </si>
  <si>
    <t>Encargos Sociais</t>
  </si>
  <si>
    <t>Crédito/Financiamento</t>
  </si>
  <si>
    <t>Captação</t>
  </si>
  <si>
    <t>Outro</t>
  </si>
  <si>
    <t>Retirada Caixa</t>
  </si>
  <si>
    <t>Combustível</t>
  </si>
  <si>
    <t>Manutenção</t>
  </si>
  <si>
    <t>Custo Operação</t>
  </si>
  <si>
    <t>Pgmt Empréstimo</t>
  </si>
  <si>
    <t>Financeiro</t>
  </si>
  <si>
    <t>Financiamento</t>
  </si>
  <si>
    <t>Verba Recisória</t>
  </si>
  <si>
    <t>Retirada Sócio</t>
  </si>
  <si>
    <t>Venda de Produto</t>
  </si>
  <si>
    <t>Salário</t>
  </si>
  <si>
    <t>Imposto</t>
  </si>
  <si>
    <t>Banco 1</t>
  </si>
  <si>
    <t>Banco 2</t>
  </si>
  <si>
    <t>Banco 3</t>
  </si>
  <si>
    <t>Itens</t>
  </si>
  <si>
    <t>Não Preencher</t>
  </si>
  <si>
    <t>Instituição</t>
  </si>
  <si>
    <t>Fluxo de Caixa Resumido</t>
  </si>
  <si>
    <t>(R) - Venda de Produto</t>
  </si>
  <si>
    <t>(R) - Outro</t>
  </si>
  <si>
    <t>(R) - Crédito/Financiamento</t>
  </si>
  <si>
    <t>1° Etapa - Guia Filtros</t>
  </si>
  <si>
    <t>Cadastre os itens que deseja, da seguinte forma</t>
  </si>
  <si>
    <t>Fluxo = Receita ou Despesa</t>
  </si>
  <si>
    <t>Item = O item que deseja cadastrar</t>
  </si>
  <si>
    <t>Categoria = A categoria deste item</t>
  </si>
  <si>
    <t>Cadastre seus bancos:</t>
  </si>
  <si>
    <t>Item Nomenclatura = Preenchida automaticamente conforme as demais informações são cadastradas</t>
  </si>
  <si>
    <t>2° Etapa - Lançamentos</t>
  </si>
  <si>
    <t>Realize os lançamentos de receita e despesa da seguinte forma</t>
  </si>
  <si>
    <t>Item = Selecione o Item que cadastrou na guia Filtros</t>
  </si>
  <si>
    <t>Descrição = Utilize para descrever da forma que desejar, para quando for analisar as entradas e saídas, ter uma descrição mais detalhada</t>
  </si>
  <si>
    <t>Movimentação = A data em que houve a movimentação financeira</t>
  </si>
  <si>
    <t>Valor = O valor da movimentação financeira</t>
  </si>
  <si>
    <t>Conta = Selecione a conta onde foi realizada movimentação</t>
  </si>
  <si>
    <t>Status Valor = Selecione Realizado ou Provisão, desta forma você pode cadastrar futuras movimentações que estão programadas.</t>
  </si>
  <si>
    <t>Demais Colunas = Somente de fórmulas. Para que não ocorra mau funcionamento do dashboard, não altere as fórmulas.</t>
  </si>
  <si>
    <t>Olá, somos a Prolog Consultoria e Treinamentos. Desenvolvemos uma planilha para que você controle seu fluxo de caixa.</t>
  </si>
  <si>
    <t>Abaixo seguem as instruções de uso:</t>
  </si>
  <si>
    <t>https://www.prologconsultoria.com/</t>
  </si>
  <si>
    <t>Conheça nosso site, e caso deseje agende uma consultoria:</t>
  </si>
  <si>
    <t>3° Etapa - Dashboard</t>
  </si>
  <si>
    <t>Após os lançamentos, siga atualize o dashboard</t>
  </si>
  <si>
    <r>
      <t>No Excel, clique na guia dados, e em seguida "</t>
    </r>
    <r>
      <rPr>
        <sz val="10"/>
        <color rgb="FFFF4600"/>
        <rFont val="CenturyGothic"/>
      </rPr>
      <t>Atualizar Tudo</t>
    </r>
    <r>
      <rPr>
        <sz val="10"/>
        <color theme="1"/>
        <rFont val="CenturyGothic"/>
        <family val="2"/>
      </rPr>
      <t>"</t>
    </r>
  </si>
  <si>
    <t>Pronto! Seu dashboard já estrá atualizado, aproveite.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</si>
</sst>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yyyy\.mm"/>
    <numFmt numFmtId="165" formatCode="&quot;R$&quot;\ #,##0.00"/>
  </numFmts>
  <fonts count="9">
    <font>
      <sz val="10"/>
      <color theme="1"/>
      <name val="CenturyGothic"/>
      <family val="2"/>
    </font>
    <font>
      <b/>
      <sz val="10"/>
      <color theme="1"/>
      <name val="CenturyGothic"/>
    </font>
    <font>
      <sz val="10"/>
      <color theme="1"/>
      <name val="CenturyGothic"/>
    </font>
    <font>
      <b/>
      <sz val="10"/>
      <color theme="0"/>
      <name val="CenturyGothic"/>
    </font>
    <font>
      <b/>
      <sz val="10"/>
      <color rgb="FFC00000"/>
      <name val="CenturyGothic"/>
    </font>
    <font>
      <b/>
      <i/>
      <sz val="8"/>
      <color rgb="FFFF4600"/>
      <name val="CenturyGothic"/>
    </font>
    <font>
      <b/>
      <sz val="10"/>
      <color theme="1" tint="0.249977111117893"/>
      <name val="CenturyGothic"/>
    </font>
    <font>
      <b/>
      <sz val="10"/>
      <color rgb="FFFF4600"/>
      <name val="CenturyGothic"/>
    </font>
    <font>
      <sz val="10"/>
      <color rgb="FFFF4600"/>
      <name val="CenturyGothic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FF4600"/>
      </bottom>
      <diagonal/>
    </border>
    <border>
      <left style="thin">
        <color theme="0" tint="-0.24994659260841701"/>
      </left>
      <right style="thick">
        <color rgb="FFFF46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indent="1"/>
    </xf>
    <xf numFmtId="3" fontId="1" fillId="0" borderId="0" xfId="0" applyNumberFormat="1" applyFont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pivotButton="1"/>
    <xf numFmtId="164" fontId="0" fillId="0" borderId="0" xfId="0" applyNumberFormat="1" applyAlignment="1">
      <alignment horizontal="left"/>
    </xf>
    <xf numFmtId="165" fontId="0" fillId="0" borderId="0" xfId="0" applyNumberForma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indent="1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/>
    </xf>
    <xf numFmtId="0" fontId="6" fillId="0" borderId="0" xfId="0" applyFont="1"/>
    <xf numFmtId="0" fontId="0" fillId="5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7" xfId="0" applyBorder="1"/>
    <xf numFmtId="0" fontId="7" fillId="0" borderId="0" xfId="0" applyFont="1"/>
  </cellXfs>
  <cellStyles count="1">
    <cellStyle name="Normal" xfId="0" builtinId="0"/>
  </cellStyles>
  <dxfs count="31">
    <dxf>
      <alignment horizontal="center" vertical="center" textRotation="0" wrapText="0" indent="0" justifyLastLine="0" shrinkToFit="0" readingOrder="0"/>
    </dxf>
    <dxf>
      <numFmt numFmtId="0" formatCode="General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yyyy\.mm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yyyy\.mm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border diagonalUp="0" diagonalDown="0">
        <left/>
        <right/>
        <top style="thin">
          <color theme="0" tint="-0.24994659260841701"/>
        </top>
        <bottom/>
        <vertical/>
        <horizontal/>
      </border>
    </dxf>
    <dxf>
      <font>
        <b/>
        <i val="0"/>
        <color theme="0"/>
      </font>
      <fill>
        <patternFill>
          <bgColor theme="1" tint="0.24994659260841701"/>
        </patternFill>
      </fill>
      <border>
        <bottom style="thick">
          <color rgb="FFFF4600"/>
        </bottom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/>
      </border>
    </dxf>
  </dxfs>
  <tableStyles count="1" defaultTableStyle="TableStyleMedium2" defaultPivotStyle="PivotStyleLight16">
    <tableStyle name="stl_tb_001" pivot="0" count="4" xr9:uid="{5F5B601B-F5B0-B442-8050-34BB099AC28C}">
      <tableStyleElement type="wholeTable" dxfId="30"/>
      <tableStyleElement type="headerRow" dxfId="29"/>
      <tableStyleElement type="totalRow" dxfId="28"/>
      <tableStyleElement type="secondRowStripe" dxfId="27"/>
    </tableStyle>
  </tableStyles>
  <colors>
    <mruColors>
      <color rgb="FFFF4600"/>
      <color rgb="FFFF9980"/>
      <color rgb="FF7A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microsoft.com/office/2007/relationships/slicerCache" Target="slicerCaches/slicerCache6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microsoft.com/office/2007/relationships/slicerCache" Target="slicerCaches/slicerCache3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[Prolog - Fluxo de Caixa.xlsx]DI_Dashboard!tbd_dash_receita_mensal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noFill/>
          <a:ln w="12700">
            <a:solidFill>
              <a:schemeClr val="tx1">
                <a:lumMod val="50000"/>
                <a:lumOff val="50000"/>
              </a:schemeClr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noFill/>
          <a:ln w="12700">
            <a:solidFill>
              <a:schemeClr val="tx1">
                <a:lumMod val="50000"/>
                <a:lumOff val="50000"/>
              </a:schemeClr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noFill/>
          <a:ln w="12700">
            <a:solidFill>
              <a:schemeClr val="tx1">
                <a:lumMod val="50000"/>
                <a:lumOff val="50000"/>
              </a:schemeClr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1.3848127674306519E-2"/>
          <c:y val="0.12603139075777928"/>
          <c:w val="0.96920464071654522"/>
          <c:h val="0.767271332924883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DI_Dashboard!$O$4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DI_Dashboard!$N$5:$N$18</c:f>
              <c:strCache>
                <c:ptCount val="13"/>
                <c:pt idx="0">
                  <c:v>2023.11</c:v>
                </c:pt>
                <c:pt idx="1">
                  <c:v>2024.01</c:v>
                </c:pt>
                <c:pt idx="2">
                  <c:v>2024.02</c:v>
                </c:pt>
                <c:pt idx="3">
                  <c:v>2024.04</c:v>
                </c:pt>
                <c:pt idx="4">
                  <c:v>2024.05</c:v>
                </c:pt>
                <c:pt idx="5">
                  <c:v>2024.06</c:v>
                </c:pt>
                <c:pt idx="6">
                  <c:v>2024.07</c:v>
                </c:pt>
                <c:pt idx="7">
                  <c:v>2024.08</c:v>
                </c:pt>
                <c:pt idx="8">
                  <c:v>2024.09</c:v>
                </c:pt>
                <c:pt idx="9">
                  <c:v>2024.10</c:v>
                </c:pt>
                <c:pt idx="10">
                  <c:v>2024.11</c:v>
                </c:pt>
                <c:pt idx="11">
                  <c:v>2024.12</c:v>
                </c:pt>
                <c:pt idx="12">
                  <c:v>2024.03</c:v>
                </c:pt>
              </c:strCache>
            </c:strRef>
          </c:cat>
          <c:val>
            <c:numRef>
              <c:f>DI_Dashboard!$O$5:$O$18</c:f>
              <c:numCache>
                <c:formatCode>"R$"\ #,##0.00</c:formatCode>
                <c:ptCount val="13"/>
                <c:pt idx="0">
                  <c:v>24000</c:v>
                </c:pt>
                <c:pt idx="1">
                  <c:v>29455.5</c:v>
                </c:pt>
                <c:pt idx="2">
                  <c:v>15890</c:v>
                </c:pt>
                <c:pt idx="3">
                  <c:v>15890</c:v>
                </c:pt>
                <c:pt idx="4">
                  <c:v>15890</c:v>
                </c:pt>
                <c:pt idx="5">
                  <c:v>15890</c:v>
                </c:pt>
                <c:pt idx="6">
                  <c:v>15890</c:v>
                </c:pt>
                <c:pt idx="7">
                  <c:v>15890</c:v>
                </c:pt>
                <c:pt idx="8">
                  <c:v>15890</c:v>
                </c:pt>
                <c:pt idx="9">
                  <c:v>15890</c:v>
                </c:pt>
                <c:pt idx="10">
                  <c:v>15890</c:v>
                </c:pt>
                <c:pt idx="11">
                  <c:v>15890</c:v>
                </c:pt>
                <c:pt idx="12">
                  <c:v>15890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68-0B4B-9362-6329CA940B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55025983"/>
        <c:axId val="1718163728"/>
      </c:barChart>
      <c:catAx>
        <c:axId val="155502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pt-BR"/>
          </a:p>
        </c:txPr>
        <c:crossAx val="1718163728"/>
        <c:crosses val="autoZero"/>
        <c:auto val="1"/>
        <c:lblAlgn val="ctr"/>
        <c:lblOffset val="100"/>
        <c:noMultiLvlLbl val="0"/>
      </c:catAx>
      <c:valAx>
        <c:axId val="1718163728"/>
        <c:scaling>
          <c:orientation val="minMax"/>
        </c:scaling>
        <c:delete val="1"/>
        <c:axPos val="l"/>
        <c:numFmt formatCode="&quot;R$&quot;\ #,##0.00" sourceLinked="1"/>
        <c:majorTickMark val="none"/>
        <c:minorTickMark val="none"/>
        <c:tickLblPos val="nextTo"/>
        <c:crossAx val="155502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 sz="900">
          <a:latin typeface="Century Gothic" panose="020B050202020202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[Prolog - Fluxo de Caixa.xlsx]DI_Dashboard!tbd_dash_despesa_mensal</c:name>
    <c:fmtId val="9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FF46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DI_Dashboard!$S$4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4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DI_Dashboard!$R$5:$R$18</c:f>
              <c:strCache>
                <c:ptCount val="13"/>
                <c:pt idx="0">
                  <c:v>2023.11</c:v>
                </c:pt>
                <c:pt idx="1">
                  <c:v>2024.01</c:v>
                </c:pt>
                <c:pt idx="2">
                  <c:v>2024.02</c:v>
                </c:pt>
                <c:pt idx="3">
                  <c:v>2024.04</c:v>
                </c:pt>
                <c:pt idx="4">
                  <c:v>2024.05</c:v>
                </c:pt>
                <c:pt idx="5">
                  <c:v>2024.06</c:v>
                </c:pt>
                <c:pt idx="6">
                  <c:v>2024.07</c:v>
                </c:pt>
                <c:pt idx="7">
                  <c:v>2024.08</c:v>
                </c:pt>
                <c:pt idx="8">
                  <c:v>2024.09</c:v>
                </c:pt>
                <c:pt idx="9">
                  <c:v>2024.10</c:v>
                </c:pt>
                <c:pt idx="10">
                  <c:v>2024.11</c:v>
                </c:pt>
                <c:pt idx="11">
                  <c:v>2024.12</c:v>
                </c:pt>
                <c:pt idx="12">
                  <c:v>2024.03</c:v>
                </c:pt>
              </c:strCache>
            </c:strRef>
          </c:cat>
          <c:val>
            <c:numRef>
              <c:f>DI_Dashboard!$S$5:$S$18</c:f>
              <c:numCache>
                <c:formatCode>"R$"\ #,##0.00</c:formatCode>
                <c:ptCount val="13"/>
                <c:pt idx="0">
                  <c:v>18500</c:v>
                </c:pt>
                <c:pt idx="1">
                  <c:v>3860</c:v>
                </c:pt>
                <c:pt idx="2">
                  <c:v>8900</c:v>
                </c:pt>
                <c:pt idx="3">
                  <c:v>0</c:v>
                </c:pt>
                <c:pt idx="4">
                  <c:v>0</c:v>
                </c:pt>
                <c:pt idx="5">
                  <c:v>4677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3-3041-B61E-E320FD8834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71506224"/>
        <c:axId val="971507952"/>
      </c:barChart>
      <c:catAx>
        <c:axId val="97150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1507952"/>
        <c:crosses val="autoZero"/>
        <c:auto val="1"/>
        <c:lblAlgn val="ctr"/>
        <c:lblOffset val="100"/>
        <c:noMultiLvlLbl val="0"/>
      </c:catAx>
      <c:valAx>
        <c:axId val="971507952"/>
        <c:scaling>
          <c:orientation val="minMax"/>
        </c:scaling>
        <c:delete val="1"/>
        <c:axPos val="l"/>
        <c:numFmt formatCode="&quot;R$&quot;\ #,##0.00" sourceLinked="1"/>
        <c:majorTickMark val="none"/>
        <c:minorTickMark val="none"/>
        <c:tickLblPos val="nextTo"/>
        <c:crossAx val="971506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[Prolog - Fluxo de Caixa.xlsx]DI_Dashboard!tbd_dash_receita_e_despesa_mensal</c:name>
    <c:fmtId val="1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noFill/>
          <a:ln w="19050">
            <a:solidFill>
              <a:srgbClr val="FF4600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175933082663806E-2"/>
          <c:y val="0.13425925925925927"/>
          <c:w val="0.91033033771896454"/>
          <c:h val="0.758341353164187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DI_Dashboard!$I$4</c:f>
              <c:strCache>
                <c:ptCount val="1"/>
                <c:pt idx="0">
                  <c:v>Receita 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DI_Dashboard!$H$5:$H$18</c:f>
              <c:strCache>
                <c:ptCount val="13"/>
                <c:pt idx="0">
                  <c:v>2023.11</c:v>
                </c:pt>
                <c:pt idx="1">
                  <c:v>2024.01</c:v>
                </c:pt>
                <c:pt idx="2">
                  <c:v>2024.02</c:v>
                </c:pt>
                <c:pt idx="3">
                  <c:v>2024.04</c:v>
                </c:pt>
                <c:pt idx="4">
                  <c:v>2024.05</c:v>
                </c:pt>
                <c:pt idx="5">
                  <c:v>2024.06</c:v>
                </c:pt>
                <c:pt idx="6">
                  <c:v>2024.07</c:v>
                </c:pt>
                <c:pt idx="7">
                  <c:v>2024.08</c:v>
                </c:pt>
                <c:pt idx="8">
                  <c:v>2024.09</c:v>
                </c:pt>
                <c:pt idx="9">
                  <c:v>2024.10</c:v>
                </c:pt>
                <c:pt idx="10">
                  <c:v>2024.11</c:v>
                </c:pt>
                <c:pt idx="11">
                  <c:v>2024.12</c:v>
                </c:pt>
                <c:pt idx="12">
                  <c:v>2024.03</c:v>
                </c:pt>
              </c:strCache>
            </c:strRef>
          </c:cat>
          <c:val>
            <c:numRef>
              <c:f>DI_Dashboard!$I$5:$I$18</c:f>
              <c:numCache>
                <c:formatCode>"R$"\ #,##0.00</c:formatCode>
                <c:ptCount val="13"/>
                <c:pt idx="0">
                  <c:v>24000</c:v>
                </c:pt>
                <c:pt idx="1">
                  <c:v>29455.5</c:v>
                </c:pt>
                <c:pt idx="2">
                  <c:v>15890</c:v>
                </c:pt>
                <c:pt idx="3">
                  <c:v>15890</c:v>
                </c:pt>
                <c:pt idx="4">
                  <c:v>15890</c:v>
                </c:pt>
                <c:pt idx="5">
                  <c:v>15890</c:v>
                </c:pt>
                <c:pt idx="6">
                  <c:v>15890</c:v>
                </c:pt>
                <c:pt idx="7">
                  <c:v>15890</c:v>
                </c:pt>
                <c:pt idx="8">
                  <c:v>15890</c:v>
                </c:pt>
                <c:pt idx="9">
                  <c:v>15890</c:v>
                </c:pt>
                <c:pt idx="10">
                  <c:v>15890</c:v>
                </c:pt>
                <c:pt idx="11">
                  <c:v>15890</c:v>
                </c:pt>
                <c:pt idx="12">
                  <c:v>15890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A-FE44-978C-741CF4A10EF9}"/>
            </c:ext>
          </c:extLst>
        </c:ser>
        <c:ser>
          <c:idx val="1"/>
          <c:order val="1"/>
          <c:tx>
            <c:strRef>
              <c:f>DI_Dashboard!$J$4</c:f>
              <c:strCache>
                <c:ptCount val="1"/>
                <c:pt idx="0">
                  <c:v>Despesa </c:v>
                </c:pt>
              </c:strCache>
            </c:strRef>
          </c:tx>
          <c:spPr>
            <a:noFill/>
            <a:ln w="19050">
              <a:solidFill>
                <a:srgbClr val="FF4600"/>
              </a:solidFill>
            </a:ln>
            <a:effectLst/>
          </c:spPr>
          <c:invertIfNegative val="0"/>
          <c:cat>
            <c:strRef>
              <c:f>DI_Dashboard!$H$5:$H$18</c:f>
              <c:strCache>
                <c:ptCount val="13"/>
                <c:pt idx="0">
                  <c:v>2023.11</c:v>
                </c:pt>
                <c:pt idx="1">
                  <c:v>2024.01</c:v>
                </c:pt>
                <c:pt idx="2">
                  <c:v>2024.02</c:v>
                </c:pt>
                <c:pt idx="3">
                  <c:v>2024.04</c:v>
                </c:pt>
                <c:pt idx="4">
                  <c:v>2024.05</c:v>
                </c:pt>
                <c:pt idx="5">
                  <c:v>2024.06</c:v>
                </c:pt>
                <c:pt idx="6">
                  <c:v>2024.07</c:v>
                </c:pt>
                <c:pt idx="7">
                  <c:v>2024.08</c:v>
                </c:pt>
                <c:pt idx="8">
                  <c:v>2024.09</c:v>
                </c:pt>
                <c:pt idx="9">
                  <c:v>2024.10</c:v>
                </c:pt>
                <c:pt idx="10">
                  <c:v>2024.11</c:v>
                </c:pt>
                <c:pt idx="11">
                  <c:v>2024.12</c:v>
                </c:pt>
                <c:pt idx="12">
                  <c:v>2024.03</c:v>
                </c:pt>
              </c:strCache>
            </c:strRef>
          </c:cat>
          <c:val>
            <c:numRef>
              <c:f>DI_Dashboard!$J$5:$J$18</c:f>
              <c:numCache>
                <c:formatCode>"R$"\ #,##0.00</c:formatCode>
                <c:ptCount val="13"/>
                <c:pt idx="0">
                  <c:v>18500</c:v>
                </c:pt>
                <c:pt idx="1">
                  <c:v>3860</c:v>
                </c:pt>
                <c:pt idx="2">
                  <c:v>8900</c:v>
                </c:pt>
                <c:pt idx="3">
                  <c:v>0</c:v>
                </c:pt>
                <c:pt idx="4">
                  <c:v>0</c:v>
                </c:pt>
                <c:pt idx="5">
                  <c:v>4677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A-FE44-978C-741CF4A10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21040"/>
        <c:axId val="971576080"/>
      </c:barChart>
      <c:lineChart>
        <c:grouping val="standard"/>
        <c:varyColors val="0"/>
        <c:ser>
          <c:idx val="2"/>
          <c:order val="2"/>
          <c:tx>
            <c:strRef>
              <c:f>DI_Dashboard!$K$4</c:f>
              <c:strCache>
                <c:ptCount val="1"/>
                <c:pt idx="0">
                  <c:v>Saldo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DI_Dashboard!$H$5:$H$18</c:f>
              <c:strCache>
                <c:ptCount val="13"/>
                <c:pt idx="0">
                  <c:v>2023.11</c:v>
                </c:pt>
                <c:pt idx="1">
                  <c:v>2024.01</c:v>
                </c:pt>
                <c:pt idx="2">
                  <c:v>2024.02</c:v>
                </c:pt>
                <c:pt idx="3">
                  <c:v>2024.04</c:v>
                </c:pt>
                <c:pt idx="4">
                  <c:v>2024.05</c:v>
                </c:pt>
                <c:pt idx="5">
                  <c:v>2024.06</c:v>
                </c:pt>
                <c:pt idx="6">
                  <c:v>2024.07</c:v>
                </c:pt>
                <c:pt idx="7">
                  <c:v>2024.08</c:v>
                </c:pt>
                <c:pt idx="8">
                  <c:v>2024.09</c:v>
                </c:pt>
                <c:pt idx="9">
                  <c:v>2024.10</c:v>
                </c:pt>
                <c:pt idx="10">
                  <c:v>2024.11</c:v>
                </c:pt>
                <c:pt idx="11">
                  <c:v>2024.12</c:v>
                </c:pt>
                <c:pt idx="12">
                  <c:v>2024.03</c:v>
                </c:pt>
              </c:strCache>
            </c:strRef>
          </c:cat>
          <c:val>
            <c:numRef>
              <c:f>DI_Dashboard!$K$5:$K$18</c:f>
              <c:numCache>
                <c:formatCode>"R$"\ #,##0.00</c:formatCode>
                <c:ptCount val="13"/>
                <c:pt idx="0">
                  <c:v>5500</c:v>
                </c:pt>
                <c:pt idx="1">
                  <c:v>25595.5</c:v>
                </c:pt>
                <c:pt idx="2">
                  <c:v>6990</c:v>
                </c:pt>
                <c:pt idx="3">
                  <c:v>15890</c:v>
                </c:pt>
                <c:pt idx="4">
                  <c:v>15890</c:v>
                </c:pt>
                <c:pt idx="5">
                  <c:v>11213</c:v>
                </c:pt>
                <c:pt idx="6">
                  <c:v>15890</c:v>
                </c:pt>
                <c:pt idx="7">
                  <c:v>15890</c:v>
                </c:pt>
                <c:pt idx="8">
                  <c:v>15890</c:v>
                </c:pt>
                <c:pt idx="9">
                  <c:v>15890</c:v>
                </c:pt>
                <c:pt idx="10">
                  <c:v>15890</c:v>
                </c:pt>
                <c:pt idx="11">
                  <c:v>15890</c:v>
                </c:pt>
                <c:pt idx="12">
                  <c:v>15890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FA-FE44-978C-741CF4A10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321040"/>
        <c:axId val="971576080"/>
      </c:lineChart>
      <c:catAx>
        <c:axId val="97132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1576080"/>
        <c:crosses val="autoZero"/>
        <c:auto val="1"/>
        <c:lblAlgn val="ctr"/>
        <c:lblOffset val="100"/>
        <c:noMultiLvlLbl val="0"/>
      </c:catAx>
      <c:valAx>
        <c:axId val="971576080"/>
        <c:scaling>
          <c:orientation val="minMax"/>
        </c:scaling>
        <c:delete val="0"/>
        <c:axPos val="l"/>
        <c:numFmt formatCode="&quot;R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132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2324455800652"/>
          <c:y val="2.9223534558180237E-2"/>
          <c:w val="0.2294028170450563"/>
          <c:h val="8.0441455234762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[Prolog - Fluxo de Caixa.xlsx]DI_Dashboard!tbd_dash_itens_abertura</c:name>
    <c:fmtId val="13"/>
  </c:pivotSource>
  <c:chart>
    <c:autoTitleDeleted val="1"/>
    <c:pivotFmts>
      <c:pivotFmt>
        <c:idx val="0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Century Gothic" panose="020B0502020202020204" pitchFamily="34" charset="0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6271083786569943"/>
          <c:y val="1.9944210461245202E-2"/>
          <c:w val="0.6959847985336467"/>
          <c:h val="0.960111579077509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DI_Dashboard!$W$4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DI_Dashboard!$V$5:$V$10</c:f>
              <c:strCache>
                <c:ptCount val="5"/>
                <c:pt idx="0">
                  <c:v>(D) - Aluguel</c:v>
                </c:pt>
                <c:pt idx="1">
                  <c:v>(D) - Matéria Prima</c:v>
                </c:pt>
                <c:pt idx="2">
                  <c:v>(R) - Venda de Produto</c:v>
                </c:pt>
                <c:pt idx="3">
                  <c:v>(R) - Outro</c:v>
                </c:pt>
                <c:pt idx="4">
                  <c:v>(R) - Crédito/Financiamento</c:v>
                </c:pt>
              </c:strCache>
            </c:strRef>
          </c:cat>
          <c:val>
            <c:numRef>
              <c:f>DI_Dashboard!$W$5:$W$10</c:f>
              <c:numCache>
                <c:formatCode>"R$"\ #,##0.00</c:formatCode>
                <c:ptCount val="5"/>
                <c:pt idx="0">
                  <c:v>23177</c:v>
                </c:pt>
                <c:pt idx="1">
                  <c:v>12760</c:v>
                </c:pt>
                <c:pt idx="2">
                  <c:v>88625.5</c:v>
                </c:pt>
                <c:pt idx="3">
                  <c:v>107840</c:v>
                </c:pt>
                <c:pt idx="4">
                  <c:v>31780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D-B64C-AE5C-18019C418D2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80059248"/>
        <c:axId val="80131376"/>
      </c:barChart>
      <c:catAx>
        <c:axId val="80059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pt-BR"/>
          </a:p>
        </c:txPr>
        <c:crossAx val="80131376"/>
        <c:crosses val="autoZero"/>
        <c:auto val="1"/>
        <c:lblAlgn val="ctr"/>
        <c:lblOffset val="100"/>
        <c:noMultiLvlLbl val="0"/>
      </c:catAx>
      <c:valAx>
        <c:axId val="80131376"/>
        <c:scaling>
          <c:orientation val="minMax"/>
        </c:scaling>
        <c:delete val="1"/>
        <c:axPos val="b"/>
        <c:numFmt formatCode="&quot;R$&quot;\ #,##0.00" sourceLinked="1"/>
        <c:majorTickMark val="none"/>
        <c:minorTickMark val="none"/>
        <c:tickLblPos val="nextTo"/>
        <c:crossAx val="8005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 sz="1000">
          <a:latin typeface="Century Gothic" panose="020B050202020202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Dashboard!A1"/><Relationship Id="rId3" Type="http://schemas.openxmlformats.org/officeDocument/2006/relationships/chart" Target="../charts/chart3.xml"/><Relationship Id="rId7" Type="http://schemas.openxmlformats.org/officeDocument/2006/relationships/hyperlink" Target="#Filtros!A1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#Lan&#231;amentos!A1"/><Relationship Id="rId5" Type="http://schemas.openxmlformats.org/officeDocument/2006/relationships/hyperlink" Target="#'Fluxo de Caixa'!A1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Lan&#231;amentos!A1"/><Relationship Id="rId2" Type="http://schemas.openxmlformats.org/officeDocument/2006/relationships/hyperlink" Target="#'Fluxo de Caixa'!A1"/><Relationship Id="rId1" Type="http://schemas.openxmlformats.org/officeDocument/2006/relationships/hyperlink" Target="#Dashboard!A1"/><Relationship Id="rId4" Type="http://schemas.openxmlformats.org/officeDocument/2006/relationships/hyperlink" Target="#Filtros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Lan&#231;amentos!A1"/><Relationship Id="rId2" Type="http://schemas.openxmlformats.org/officeDocument/2006/relationships/hyperlink" Target="#'Fluxo de Caixa'!A1"/><Relationship Id="rId1" Type="http://schemas.openxmlformats.org/officeDocument/2006/relationships/hyperlink" Target="#Dashboard!A1"/><Relationship Id="rId4" Type="http://schemas.openxmlformats.org/officeDocument/2006/relationships/hyperlink" Target="#Filtros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Lan&#231;amentos!A1"/><Relationship Id="rId2" Type="http://schemas.openxmlformats.org/officeDocument/2006/relationships/hyperlink" Target="#'Fluxo de Caixa'!A1"/><Relationship Id="rId1" Type="http://schemas.openxmlformats.org/officeDocument/2006/relationships/hyperlink" Target="#Dashboard!A1"/><Relationship Id="rId4" Type="http://schemas.openxmlformats.org/officeDocument/2006/relationships/hyperlink" Target="#Filtro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8</xdr:row>
      <xdr:rowOff>105834</xdr:rowOff>
    </xdr:from>
    <xdr:to>
      <xdr:col>4</xdr:col>
      <xdr:colOff>571502</xdr:colOff>
      <xdr:row>15</xdr:row>
      <xdr:rowOff>30369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5F322DC-E95B-640B-3FA0-DCA9F5ACD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1" y="783167"/>
          <a:ext cx="3048000" cy="1109869"/>
        </a:xfrm>
        <a:prstGeom prst="rect">
          <a:avLst/>
        </a:prstGeom>
      </xdr:spPr>
    </xdr:pic>
    <xdr:clientData/>
  </xdr:twoCellAnchor>
  <xdr:twoCellAnchor editAs="oneCell">
    <xdr:from>
      <xdr:col>0</xdr:col>
      <xdr:colOff>751417</xdr:colOff>
      <xdr:row>22</xdr:row>
      <xdr:rowOff>38241</xdr:rowOff>
    </xdr:from>
    <xdr:to>
      <xdr:col>9</xdr:col>
      <xdr:colOff>788585</xdr:colOff>
      <xdr:row>47</xdr:row>
      <xdr:rowOff>120732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56D1586-FE9F-F96A-E37C-730509D15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1417" y="3086241"/>
          <a:ext cx="7388244" cy="4315825"/>
        </a:xfrm>
        <a:prstGeom prst="rect">
          <a:avLst/>
        </a:prstGeom>
      </xdr:spPr>
    </xdr:pic>
    <xdr:clientData/>
  </xdr:twoCellAnchor>
  <xdr:twoCellAnchor editAs="oneCell">
    <xdr:from>
      <xdr:col>0</xdr:col>
      <xdr:colOff>815766</xdr:colOff>
      <xdr:row>59</xdr:row>
      <xdr:rowOff>166861</xdr:rowOff>
    </xdr:from>
    <xdr:to>
      <xdr:col>10</xdr:col>
      <xdr:colOff>348555</xdr:colOff>
      <xdr:row>78</xdr:row>
      <xdr:rowOff>29537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DBC87B2-5FCD-49EC-948E-A0485CABB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766" y="9344233"/>
          <a:ext cx="7768229" cy="3033040"/>
        </a:xfrm>
        <a:prstGeom prst="rect">
          <a:avLst/>
        </a:prstGeom>
      </xdr:spPr>
    </xdr:pic>
    <xdr:clientData/>
  </xdr:twoCellAnchor>
  <xdr:twoCellAnchor editAs="oneCell">
    <xdr:from>
      <xdr:col>1</xdr:col>
      <xdr:colOff>18541</xdr:colOff>
      <xdr:row>82</xdr:row>
      <xdr:rowOff>45461</xdr:rowOff>
    </xdr:from>
    <xdr:to>
      <xdr:col>7</xdr:col>
      <xdr:colOff>166862</xdr:colOff>
      <xdr:row>88</xdr:row>
      <xdr:rowOff>96932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AADDE2D-57B6-DCB6-BF91-C9B2ECE02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43577" y="13728089"/>
          <a:ext cx="5098540" cy="1052639"/>
        </a:xfrm>
        <a:prstGeom prst="rect">
          <a:avLst/>
        </a:prstGeom>
      </xdr:spPr>
    </xdr:pic>
    <xdr:clientData/>
  </xdr:twoCellAnchor>
  <xdr:twoCellAnchor>
    <xdr:from>
      <xdr:col>4</xdr:col>
      <xdr:colOff>250292</xdr:colOff>
      <xdr:row>83</xdr:row>
      <xdr:rowOff>157591</xdr:rowOff>
    </xdr:from>
    <xdr:to>
      <xdr:col>4</xdr:col>
      <xdr:colOff>667445</xdr:colOff>
      <xdr:row>84</xdr:row>
      <xdr:rowOff>129782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96C4F683-4047-1F9B-C913-68734C83E4A2}"/>
            </a:ext>
          </a:extLst>
        </xdr:cNvPr>
        <xdr:cNvSpPr/>
      </xdr:nvSpPr>
      <xdr:spPr>
        <a:xfrm>
          <a:off x="3550438" y="14007080"/>
          <a:ext cx="417153" cy="139052"/>
        </a:xfrm>
        <a:prstGeom prst="rect">
          <a:avLst/>
        </a:prstGeom>
        <a:noFill/>
        <a:ln>
          <a:solidFill>
            <a:srgbClr val="FF46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523204</xdr:colOff>
      <xdr:row>85</xdr:row>
      <xdr:rowOff>13347</xdr:rowOff>
    </xdr:from>
    <xdr:to>
      <xdr:col>3</xdr:col>
      <xdr:colOff>74162</xdr:colOff>
      <xdr:row>87</xdr:row>
      <xdr:rowOff>64890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79199512-BCD2-7247-9D48-1657C5823F18}"/>
            </a:ext>
          </a:extLst>
        </xdr:cNvPr>
        <xdr:cNvSpPr/>
      </xdr:nvSpPr>
      <xdr:spPr>
        <a:xfrm>
          <a:off x="2173277" y="14196559"/>
          <a:ext cx="375994" cy="385265"/>
        </a:xfrm>
        <a:prstGeom prst="rect">
          <a:avLst/>
        </a:prstGeom>
        <a:noFill/>
        <a:ln>
          <a:solidFill>
            <a:srgbClr val="FF46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142974</xdr:colOff>
      <xdr:row>15</xdr:row>
      <xdr:rowOff>129159</xdr:rowOff>
    </xdr:from>
    <xdr:to>
      <xdr:col>4</xdr:col>
      <xdr:colOff>347758</xdr:colOff>
      <xdr:row>19</xdr:row>
      <xdr:rowOff>65299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8E7C56E5-9306-C446-A722-0E166A13D0AB}"/>
            </a:ext>
          </a:extLst>
        </xdr:cNvPr>
        <xdr:cNvGrpSpPr/>
      </xdr:nvGrpSpPr>
      <xdr:grpSpPr>
        <a:xfrm>
          <a:off x="354641" y="2838492"/>
          <a:ext cx="1538284" cy="613474"/>
          <a:chOff x="2102464" y="1662927"/>
          <a:chExt cx="1545258" cy="601906"/>
        </a:xfrm>
      </xdr:grpSpPr>
      <xdr:sp macro="" textlink="">
        <xdr:nvSpPr>
          <xdr:cNvPr id="3" name="Retângulo Arredondado 2">
            <a:extLst>
              <a:ext uri="{FF2B5EF4-FFF2-40B4-BE49-F238E27FC236}">
                <a16:creationId xmlns:a16="http://schemas.microsoft.com/office/drawing/2014/main" id="{3F2C2BAD-2DF5-E871-42ED-851C868F3E67}"/>
              </a:ext>
            </a:extLst>
          </xdr:cNvPr>
          <xdr:cNvSpPr/>
        </xdr:nvSpPr>
        <xdr:spPr>
          <a:xfrm>
            <a:off x="2102464" y="1662927"/>
            <a:ext cx="1545258" cy="601906"/>
          </a:xfrm>
          <a:prstGeom prst="roundRect">
            <a:avLst>
              <a:gd name="adj" fmla="val 4630"/>
            </a:avLst>
          </a:prstGeom>
          <a:noFill/>
          <a:ln w="9525"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pt-BR" sz="1000" b="1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rPr>
              <a:t>Receita Total</a:t>
            </a:r>
          </a:p>
        </xdr:txBody>
      </xdr:sp>
      <xdr:sp macro="" textlink="DI_Dashboard!$C$5">
        <xdr:nvSpPr>
          <xdr:cNvPr id="4" name="CaixaDeTexto 3">
            <a:extLst>
              <a:ext uri="{FF2B5EF4-FFF2-40B4-BE49-F238E27FC236}">
                <a16:creationId xmlns:a16="http://schemas.microsoft.com/office/drawing/2014/main" id="{F2E5DAAC-8264-3FEE-DA64-9CDF13D2AF62}"/>
              </a:ext>
            </a:extLst>
          </xdr:cNvPr>
          <xdr:cNvSpPr txBox="1"/>
        </xdr:nvSpPr>
        <xdr:spPr>
          <a:xfrm>
            <a:off x="2242408" y="1980561"/>
            <a:ext cx="1265370" cy="256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fld id="{3A503E50-D860-4D4F-8481-44F8D03867D2}" type="TxLink">
              <a:rPr lang="en-US" sz="1000" b="0" i="0" u="none" strike="noStrike">
                <a:solidFill>
                  <a:srgbClr val="00B050"/>
                </a:solidFill>
                <a:latin typeface="CenturyGothic"/>
              </a:rPr>
              <a:pPr algn="ctr"/>
              <a:t>R$ 228.245,50</a:t>
            </a:fld>
            <a:endParaRPr lang="pt-BR" sz="1000" b="1">
              <a:solidFill>
                <a:srgbClr val="00B050"/>
              </a:solidFill>
            </a:endParaRPr>
          </a:p>
        </xdr:txBody>
      </xdr:sp>
    </xdr:grpSp>
    <xdr:clientData/>
  </xdr:twoCellAnchor>
  <xdr:twoCellAnchor editAs="absolute">
    <xdr:from>
      <xdr:col>1</xdr:col>
      <xdr:colOff>0</xdr:colOff>
      <xdr:row>37</xdr:row>
      <xdr:rowOff>62938</xdr:rowOff>
    </xdr:from>
    <xdr:to>
      <xdr:col>24</xdr:col>
      <xdr:colOff>9284</xdr:colOff>
      <xdr:row>50</xdr:row>
      <xdr:rowOff>43634</xdr:rowOff>
    </xdr:to>
    <xdr:graphicFrame macro="">
      <xdr:nvGraphicFramePr>
        <xdr:cNvPr id="5" name="tbd_graf_receita">
          <a:extLst>
            <a:ext uri="{FF2B5EF4-FFF2-40B4-BE49-F238E27FC236}">
              <a16:creationId xmlns:a16="http://schemas.microsoft.com/office/drawing/2014/main" id="{5789FAFF-6622-8E49-9123-E1B553200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175846</xdr:colOff>
      <xdr:row>36</xdr:row>
      <xdr:rowOff>11283</xdr:rowOff>
    </xdr:from>
    <xdr:to>
      <xdr:col>3</xdr:col>
      <xdr:colOff>203364</xdr:colOff>
      <xdr:row>37</xdr:row>
      <xdr:rowOff>94698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C77D6C61-F83B-3C1D-6835-E8622E85E4DC}"/>
            </a:ext>
          </a:extLst>
        </xdr:cNvPr>
        <xdr:cNvSpPr txBox="1"/>
      </xdr:nvSpPr>
      <xdr:spPr>
        <a:xfrm>
          <a:off x="175846" y="6175668"/>
          <a:ext cx="1141210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0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Receita Mensal</a:t>
          </a:r>
        </a:p>
      </xdr:txBody>
    </xdr:sp>
    <xdr:clientData/>
  </xdr:twoCellAnchor>
  <xdr:twoCellAnchor editAs="absolute">
    <xdr:from>
      <xdr:col>5</xdr:col>
      <xdr:colOff>3030</xdr:colOff>
      <xdr:row>15</xdr:row>
      <xdr:rowOff>129159</xdr:rowOff>
    </xdr:from>
    <xdr:to>
      <xdr:col>8</xdr:col>
      <xdr:colOff>198529</xdr:colOff>
      <xdr:row>19</xdr:row>
      <xdr:rowOff>65299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DCC02617-4825-944C-9D54-52786E725988}"/>
            </a:ext>
          </a:extLst>
        </xdr:cNvPr>
        <xdr:cNvGrpSpPr/>
      </xdr:nvGrpSpPr>
      <xdr:grpSpPr>
        <a:xfrm>
          <a:off x="1992697" y="2838492"/>
          <a:ext cx="1528999" cy="613474"/>
          <a:chOff x="2102464" y="1662927"/>
          <a:chExt cx="1545258" cy="601906"/>
        </a:xfrm>
      </xdr:grpSpPr>
      <xdr:sp macro="" textlink="">
        <xdr:nvSpPr>
          <xdr:cNvPr id="8" name="Retângulo Arredondado 7">
            <a:extLst>
              <a:ext uri="{FF2B5EF4-FFF2-40B4-BE49-F238E27FC236}">
                <a16:creationId xmlns:a16="http://schemas.microsoft.com/office/drawing/2014/main" id="{A451E120-E2FC-E3CD-060F-A1947F2CE6A3}"/>
              </a:ext>
            </a:extLst>
          </xdr:cNvPr>
          <xdr:cNvSpPr/>
        </xdr:nvSpPr>
        <xdr:spPr>
          <a:xfrm>
            <a:off x="2102464" y="1662927"/>
            <a:ext cx="1545258" cy="601906"/>
          </a:xfrm>
          <a:prstGeom prst="roundRect">
            <a:avLst>
              <a:gd name="adj" fmla="val 4630"/>
            </a:avLst>
          </a:prstGeom>
          <a:noFill/>
          <a:ln w="9525"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pt-BR" sz="1000" b="1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rPr>
              <a:t>Despesa</a:t>
            </a:r>
            <a:r>
              <a:rPr lang="pt-BR" sz="1000" b="1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rPr>
              <a:t> Total</a:t>
            </a:r>
            <a:endParaRPr lang="pt-BR" sz="10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endParaRPr>
          </a:p>
        </xdr:txBody>
      </xdr:sp>
      <xdr:sp macro="" textlink="DI_Dashboard!$D$5">
        <xdr:nvSpPr>
          <xdr:cNvPr id="9" name="CaixaDeTexto 8">
            <a:extLst>
              <a:ext uri="{FF2B5EF4-FFF2-40B4-BE49-F238E27FC236}">
                <a16:creationId xmlns:a16="http://schemas.microsoft.com/office/drawing/2014/main" id="{BB5C4F19-1F9B-F266-704A-B769C4EA04D7}"/>
              </a:ext>
            </a:extLst>
          </xdr:cNvPr>
          <xdr:cNvSpPr txBox="1"/>
        </xdr:nvSpPr>
        <xdr:spPr>
          <a:xfrm>
            <a:off x="2242408" y="1980561"/>
            <a:ext cx="1265370" cy="256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fld id="{E114FB60-0130-1E40-ADD2-4028AA084417}" type="TxLink">
              <a:rPr lang="en-US" sz="1000" b="0" i="0" u="none" strike="noStrike">
                <a:solidFill>
                  <a:srgbClr val="FF4600"/>
                </a:solidFill>
                <a:latin typeface="CenturyGothic"/>
              </a:rPr>
              <a:pPr algn="ctr"/>
              <a:t>R$ 35.937,00</a:t>
            </a:fld>
            <a:endParaRPr lang="pt-BR" sz="1000" b="1">
              <a:solidFill>
                <a:srgbClr val="FF4600"/>
              </a:solidFill>
            </a:endParaRPr>
          </a:p>
        </xdr:txBody>
      </xdr:sp>
    </xdr:grpSp>
    <xdr:clientData/>
  </xdr:twoCellAnchor>
  <xdr:twoCellAnchor editAs="absolute">
    <xdr:from>
      <xdr:col>8</xdr:col>
      <xdr:colOff>286334</xdr:colOff>
      <xdr:row>15</xdr:row>
      <xdr:rowOff>129159</xdr:rowOff>
    </xdr:from>
    <xdr:to>
      <xdr:col>12</xdr:col>
      <xdr:colOff>49301</xdr:colOff>
      <xdr:row>19</xdr:row>
      <xdr:rowOff>65299</xdr:rowOff>
    </xdr:to>
    <xdr:grpSp>
      <xdr:nvGrpSpPr>
        <xdr:cNvPr id="10" name="Agrupar 9">
          <a:extLst>
            <a:ext uri="{FF2B5EF4-FFF2-40B4-BE49-F238E27FC236}">
              <a16:creationId xmlns:a16="http://schemas.microsoft.com/office/drawing/2014/main" id="{B3757E73-3326-024B-BE5F-7507759390FC}"/>
            </a:ext>
          </a:extLst>
        </xdr:cNvPr>
        <xdr:cNvGrpSpPr/>
      </xdr:nvGrpSpPr>
      <xdr:grpSpPr>
        <a:xfrm>
          <a:off x="3609501" y="2838492"/>
          <a:ext cx="1540967" cy="613474"/>
          <a:chOff x="2102464" y="1662927"/>
          <a:chExt cx="1545258" cy="601906"/>
        </a:xfrm>
      </xdr:grpSpPr>
      <xdr:sp macro="" textlink="">
        <xdr:nvSpPr>
          <xdr:cNvPr id="11" name="Retângulo Arredondado 10">
            <a:extLst>
              <a:ext uri="{FF2B5EF4-FFF2-40B4-BE49-F238E27FC236}">
                <a16:creationId xmlns:a16="http://schemas.microsoft.com/office/drawing/2014/main" id="{33AD8062-7D0D-F5AA-DFF6-ED82515477D3}"/>
              </a:ext>
            </a:extLst>
          </xdr:cNvPr>
          <xdr:cNvSpPr/>
        </xdr:nvSpPr>
        <xdr:spPr>
          <a:xfrm>
            <a:off x="2102464" y="1662927"/>
            <a:ext cx="1545258" cy="601906"/>
          </a:xfrm>
          <a:prstGeom prst="roundRect">
            <a:avLst>
              <a:gd name="adj" fmla="val 4630"/>
            </a:avLst>
          </a:prstGeom>
          <a:noFill/>
          <a:ln w="9525"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pt-BR" sz="1000" b="1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rPr>
              <a:t>Saldo Total</a:t>
            </a:r>
          </a:p>
        </xdr:txBody>
      </xdr:sp>
      <xdr:sp macro="" textlink="DI_Dashboard!$E$5">
        <xdr:nvSpPr>
          <xdr:cNvPr id="12" name="CaixaDeTexto 11">
            <a:extLst>
              <a:ext uri="{FF2B5EF4-FFF2-40B4-BE49-F238E27FC236}">
                <a16:creationId xmlns:a16="http://schemas.microsoft.com/office/drawing/2014/main" id="{BC87639C-1460-7432-9E67-4E5C70B229F7}"/>
              </a:ext>
            </a:extLst>
          </xdr:cNvPr>
          <xdr:cNvSpPr txBox="1"/>
        </xdr:nvSpPr>
        <xdr:spPr>
          <a:xfrm>
            <a:off x="2242408" y="1980561"/>
            <a:ext cx="1265370" cy="2566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fld id="{DE2E4FEB-C830-8D4C-AB28-CE70BDA7F624}" type="TxLink">
              <a:rPr lang="en-US" sz="1000" b="1" i="0" u="none" strike="noStrike">
                <a:solidFill>
                  <a:srgbClr val="0070C0"/>
                </a:solidFill>
                <a:latin typeface="CenturyGothic"/>
              </a:rPr>
              <a:pPr algn="ctr"/>
              <a:t>R$ 192.308,50</a:t>
            </a:fld>
            <a:endParaRPr lang="pt-BR" sz="1000" b="1">
              <a:solidFill>
                <a:srgbClr val="0070C0"/>
              </a:solidFill>
            </a:endParaRPr>
          </a:p>
        </xdr:txBody>
      </xdr:sp>
    </xdr:grpSp>
    <xdr:clientData/>
  </xdr:twoCellAnchor>
  <xdr:twoCellAnchor editAs="absolute">
    <xdr:from>
      <xdr:col>1</xdr:col>
      <xdr:colOff>0</xdr:colOff>
      <xdr:row>52</xdr:row>
      <xdr:rowOff>126999</xdr:rowOff>
    </xdr:from>
    <xdr:to>
      <xdr:col>24</xdr:col>
      <xdr:colOff>9284</xdr:colOff>
      <xdr:row>65</xdr:row>
      <xdr:rowOff>107695</xdr:rowOff>
    </xdr:to>
    <xdr:graphicFrame macro="">
      <xdr:nvGraphicFramePr>
        <xdr:cNvPr id="13" name="tbd_graf_despesa">
          <a:extLst>
            <a:ext uri="{FF2B5EF4-FFF2-40B4-BE49-F238E27FC236}">
              <a16:creationId xmlns:a16="http://schemas.microsoft.com/office/drawing/2014/main" id="{E1944579-987D-A943-9C26-19A4EF101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175846</xdr:colOff>
      <xdr:row>51</xdr:row>
      <xdr:rowOff>68383</xdr:rowOff>
    </xdr:from>
    <xdr:to>
      <xdr:col>3</xdr:col>
      <xdr:colOff>264984</xdr:colOff>
      <xdr:row>52</xdr:row>
      <xdr:rowOff>151798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FCCA5D44-8C2C-FA47-BEDA-693646904049}"/>
            </a:ext>
          </a:extLst>
        </xdr:cNvPr>
        <xdr:cNvSpPr txBox="1"/>
      </xdr:nvSpPr>
      <xdr:spPr>
        <a:xfrm>
          <a:off x="175846" y="8723921"/>
          <a:ext cx="1202830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0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Despesa Mensal</a:t>
          </a:r>
        </a:p>
      </xdr:txBody>
    </xdr:sp>
    <xdr:clientData/>
  </xdr:twoCellAnchor>
  <xdr:twoCellAnchor editAs="absolute">
    <xdr:from>
      <xdr:col>1</xdr:col>
      <xdr:colOff>0</xdr:colOff>
      <xdr:row>21</xdr:row>
      <xdr:rowOff>146539</xdr:rowOff>
    </xdr:from>
    <xdr:to>
      <xdr:col>24</xdr:col>
      <xdr:colOff>9284</xdr:colOff>
      <xdr:row>34</xdr:row>
      <xdr:rowOff>127235</xdr:rowOff>
    </xdr:to>
    <xdr:graphicFrame macro="">
      <xdr:nvGraphicFramePr>
        <xdr:cNvPr id="15" name="tbd_graf_receita_despesa">
          <a:extLst>
            <a:ext uri="{FF2B5EF4-FFF2-40B4-BE49-F238E27FC236}">
              <a16:creationId xmlns:a16="http://schemas.microsoft.com/office/drawing/2014/main" id="{B9FA9AF3-EDC7-5640-98F7-F1FEAB117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175846</xdr:colOff>
      <xdr:row>20</xdr:row>
      <xdr:rowOff>68386</xdr:rowOff>
    </xdr:from>
    <xdr:to>
      <xdr:col>4</xdr:col>
      <xdr:colOff>18218</xdr:colOff>
      <xdr:row>21</xdr:row>
      <xdr:rowOff>151801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04DC94D7-C7C2-214A-8781-2FDA213C09D0}"/>
            </a:ext>
          </a:extLst>
        </xdr:cNvPr>
        <xdr:cNvSpPr txBox="1"/>
      </xdr:nvSpPr>
      <xdr:spPr>
        <a:xfrm>
          <a:off x="175846" y="3575540"/>
          <a:ext cx="1405449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0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Receitas</a:t>
          </a:r>
          <a:r>
            <a:rPr lang="pt-BR" sz="10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e Despesa</a:t>
          </a:r>
          <a:endParaRPr lang="pt-BR" sz="10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11</xdr:col>
      <xdr:colOff>284611</xdr:colOff>
      <xdr:row>3</xdr:row>
      <xdr:rowOff>51648</xdr:rowOff>
    </xdr:from>
    <xdr:to>
      <xdr:col>15</xdr:col>
      <xdr:colOff>315872</xdr:colOff>
      <xdr:row>14</xdr:row>
      <xdr:rowOff>47705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8" name="Conta">
              <a:extLst>
                <a:ext uri="{FF2B5EF4-FFF2-40B4-BE49-F238E27FC236}">
                  <a16:creationId xmlns:a16="http://schemas.microsoft.com/office/drawing/2014/main" id="{7A92783C-8791-2E4D-81BC-D1530D199EB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n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45511" y="724748"/>
              <a:ext cx="1809261" cy="18121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380347</xdr:colOff>
      <xdr:row>9</xdr:row>
      <xdr:rowOff>2151</xdr:rowOff>
    </xdr:from>
    <xdr:to>
      <xdr:col>11</xdr:col>
      <xdr:colOff>199968</xdr:colOff>
      <xdr:row>14</xdr:row>
      <xdr:rowOff>46636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9" name="Status Valor">
              <a:extLst>
                <a:ext uri="{FF2B5EF4-FFF2-40B4-BE49-F238E27FC236}">
                  <a16:creationId xmlns:a16="http://schemas.microsoft.com/office/drawing/2014/main" id="{B16C5596-4986-6B4D-B9C7-3FE6055FCBD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us Val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18747" y="1663311"/>
              <a:ext cx="2042121" cy="8725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380346</xdr:colOff>
      <xdr:row>3</xdr:row>
      <xdr:rowOff>51648</xdr:rowOff>
    </xdr:from>
    <xdr:to>
      <xdr:col>11</xdr:col>
      <xdr:colOff>199967</xdr:colOff>
      <xdr:row>8</xdr:row>
      <xdr:rowOff>113207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0" name="Fluxo">
              <a:extLst>
                <a:ext uri="{FF2B5EF4-FFF2-40B4-BE49-F238E27FC236}">
                  <a16:creationId xmlns:a16="http://schemas.microsoft.com/office/drawing/2014/main" id="{405C5A8A-2402-4F42-9B37-BEF160D19EA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lux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18746" y="724748"/>
              <a:ext cx="2042121" cy="8870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15</xdr:col>
      <xdr:colOff>376441</xdr:colOff>
      <xdr:row>3</xdr:row>
      <xdr:rowOff>52991</xdr:rowOff>
    </xdr:from>
    <xdr:to>
      <xdr:col>19</xdr:col>
      <xdr:colOff>407703</xdr:colOff>
      <xdr:row>14</xdr:row>
      <xdr:rowOff>47705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1" name="Categoria">
              <a:extLst>
                <a:ext uri="{FF2B5EF4-FFF2-40B4-BE49-F238E27FC236}">
                  <a16:creationId xmlns:a16="http://schemas.microsoft.com/office/drawing/2014/main" id="{D9478D0C-98C0-0D41-84EE-433A0E2678F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15341" y="726091"/>
              <a:ext cx="1809262" cy="18108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1</xdr:col>
      <xdr:colOff>1</xdr:colOff>
      <xdr:row>3</xdr:row>
      <xdr:rowOff>51648</xdr:rowOff>
    </xdr:from>
    <xdr:to>
      <xdr:col>2</xdr:col>
      <xdr:colOff>410307</xdr:colOff>
      <xdr:row>14</xdr:row>
      <xdr:rowOff>47705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3" name="Ano">
              <a:extLst>
                <a:ext uri="{FF2B5EF4-FFF2-40B4-BE49-F238E27FC236}">
                  <a16:creationId xmlns:a16="http://schemas.microsoft.com/office/drawing/2014/main" id="{A7921302-931C-D141-8BC5-22E28150775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5901" y="724748"/>
              <a:ext cx="854806" cy="18121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absolute">
    <xdr:from>
      <xdr:col>3</xdr:col>
      <xdr:colOff>19539</xdr:colOff>
      <xdr:row>3</xdr:row>
      <xdr:rowOff>51648</xdr:rowOff>
    </xdr:from>
    <xdr:to>
      <xdr:col>6</xdr:col>
      <xdr:colOff>322384</xdr:colOff>
      <xdr:row>14</xdr:row>
      <xdr:rowOff>47705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4" name="Mês">
              <a:extLst>
                <a:ext uri="{FF2B5EF4-FFF2-40B4-BE49-F238E27FC236}">
                  <a16:creationId xmlns:a16="http://schemas.microsoft.com/office/drawing/2014/main" id="{635F040E-439B-8E41-8870-8B6DAE8A3F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ê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24439" y="724748"/>
              <a:ext cx="1636345" cy="181215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68</xdr:row>
      <xdr:rowOff>9769</xdr:rowOff>
    </xdr:from>
    <xdr:to>
      <xdr:col>23</xdr:col>
      <xdr:colOff>449383</xdr:colOff>
      <xdr:row>115</xdr:row>
      <xdr:rowOff>39076</xdr:rowOff>
    </xdr:to>
    <xdr:graphicFrame macro="">
      <xdr:nvGraphicFramePr>
        <xdr:cNvPr id="25" name="tbd_graf_itens">
          <a:extLst>
            <a:ext uri="{FF2B5EF4-FFF2-40B4-BE49-F238E27FC236}">
              <a16:creationId xmlns:a16="http://schemas.microsoft.com/office/drawing/2014/main" id="{880BFA05-297A-D642-BF75-1091E09D26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</xdr:col>
      <xdr:colOff>0</xdr:colOff>
      <xdr:row>66</xdr:row>
      <xdr:rowOff>87923</xdr:rowOff>
    </xdr:from>
    <xdr:to>
      <xdr:col>6</xdr:col>
      <xdr:colOff>97180</xdr:colOff>
      <xdr:row>68</xdr:row>
      <xdr:rowOff>5261</xdr:rowOff>
    </xdr:to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BB78CB50-1F98-784A-AC8A-B2A009646BF6}"/>
            </a:ext>
          </a:extLst>
        </xdr:cNvPr>
        <xdr:cNvSpPr txBox="1"/>
      </xdr:nvSpPr>
      <xdr:spPr>
        <a:xfrm>
          <a:off x="214923" y="11234615"/>
          <a:ext cx="2344103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000" b="1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Abertura Itens</a:t>
          </a:r>
          <a:r>
            <a:rPr lang="pt-BR" sz="1000" b="1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rPr>
            <a:t> - Receita e Despesa</a:t>
          </a:r>
          <a:endParaRPr lang="pt-BR" sz="1000" b="1">
            <a:solidFill>
              <a:schemeClr val="tx1">
                <a:lumMod val="65000"/>
                <a:lumOff val="3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1</xdr:col>
      <xdr:colOff>0</xdr:colOff>
      <xdr:row>0</xdr:row>
      <xdr:rowOff>0</xdr:rowOff>
    </xdr:from>
    <xdr:to>
      <xdr:col>10</xdr:col>
      <xdr:colOff>0</xdr:colOff>
      <xdr:row>1</xdr:row>
      <xdr:rowOff>593</xdr:rowOff>
    </xdr:to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4DA79422-805E-34C8-D9D7-A73F62038857}"/>
            </a:ext>
          </a:extLst>
        </xdr:cNvPr>
        <xdr:cNvSpPr txBox="1"/>
      </xdr:nvSpPr>
      <xdr:spPr>
        <a:xfrm>
          <a:off x="214923" y="0"/>
          <a:ext cx="4044462" cy="4493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rgbClr val="FF4600"/>
              </a:solidFill>
              <a:latin typeface="Century Gothic" panose="020B0502020202020204" pitchFamily="34" charset="0"/>
            </a:rPr>
            <a:t>Fluxo de Caixa</a:t>
          </a:r>
        </a:p>
        <a:p>
          <a:r>
            <a:rPr lang="pt-BR" sz="80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Desenvolvido</a:t>
          </a:r>
          <a:r>
            <a:rPr lang="pt-BR" sz="800" baseline="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 por: Prolog Consultoria e Treinamentos</a:t>
          </a:r>
          <a:endParaRPr lang="pt-BR" sz="800">
            <a:solidFill>
              <a:schemeClr val="tx1">
                <a:lumMod val="75000"/>
                <a:lumOff val="2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3</xdr:col>
      <xdr:colOff>200525</xdr:colOff>
      <xdr:row>1</xdr:row>
      <xdr:rowOff>593</xdr:rowOff>
    </xdr:from>
    <xdr:to>
      <xdr:col>6</xdr:col>
      <xdr:colOff>145405</xdr:colOff>
      <xdr:row>2</xdr:row>
      <xdr:rowOff>0</xdr:rowOff>
    </xdr:to>
    <xdr:sp macro="" textlink="">
      <xdr:nvSpPr>
        <xdr:cNvPr id="29" name="Retângulo Arredondado 2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C5FEAC0-D69B-10E2-A293-A2C7A4C6AC93}"/>
            </a:ext>
          </a:extLst>
        </xdr:cNvPr>
        <xdr:cNvSpPr/>
      </xdr:nvSpPr>
      <xdr:spPr>
        <a:xfrm>
          <a:off x="1304357" y="445093"/>
          <a:ext cx="128016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Fluxo</a:t>
          </a:r>
          <a:r>
            <a:rPr lang="pt-BR" sz="1000" b="1" baseline="0">
              <a:solidFill>
                <a:schemeClr val="bg1"/>
              </a:solidFill>
              <a:latin typeface="Century Gothic" panose="020B0502020202020204" pitchFamily="34" charset="0"/>
            </a:rPr>
            <a:t> de Caixa</a:t>
          </a:r>
          <a:endParaRPr lang="pt-BR" sz="10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6</xdr:col>
      <xdr:colOff>230277</xdr:colOff>
      <xdr:row>1</xdr:row>
      <xdr:rowOff>593</xdr:rowOff>
    </xdr:from>
    <xdr:to>
      <xdr:col>8</xdr:col>
      <xdr:colOff>437370</xdr:colOff>
      <xdr:row>2</xdr:row>
      <xdr:rowOff>0</xdr:rowOff>
    </xdr:to>
    <xdr:sp macro="" textlink="">
      <xdr:nvSpPr>
        <xdr:cNvPr id="30" name="Retângulo Arredondado 2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861F644-EDCB-55B0-409C-F411610D228E}"/>
            </a:ext>
          </a:extLst>
        </xdr:cNvPr>
        <xdr:cNvSpPr/>
      </xdr:nvSpPr>
      <xdr:spPr>
        <a:xfrm>
          <a:off x="2669389" y="445093"/>
          <a:ext cx="10972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Lançamentos</a:t>
          </a:r>
        </a:p>
      </xdr:txBody>
    </xdr:sp>
    <xdr:clientData/>
  </xdr:twoCellAnchor>
  <xdr:twoCellAnchor editAs="absolute">
    <xdr:from>
      <xdr:col>9</xdr:col>
      <xdr:colOff>77149</xdr:colOff>
      <xdr:row>1</xdr:row>
      <xdr:rowOff>593</xdr:rowOff>
    </xdr:from>
    <xdr:to>
      <xdr:col>10</xdr:col>
      <xdr:colOff>272136</xdr:colOff>
      <xdr:row>2</xdr:row>
      <xdr:rowOff>0</xdr:rowOff>
    </xdr:to>
    <xdr:sp macro="" textlink="">
      <xdr:nvSpPr>
        <xdr:cNvPr id="31" name="Retângulo Arredondado 3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79A3C31C-2F9C-593B-B098-5DB6DE667D21}"/>
            </a:ext>
          </a:extLst>
        </xdr:cNvPr>
        <xdr:cNvSpPr/>
      </xdr:nvSpPr>
      <xdr:spPr>
        <a:xfrm>
          <a:off x="3851542" y="445093"/>
          <a:ext cx="6400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Filtros</a:t>
          </a:r>
        </a:p>
      </xdr:txBody>
    </xdr:sp>
    <xdr:clientData/>
  </xdr:twoCellAnchor>
  <xdr:twoCellAnchor editAs="absolute">
    <xdr:from>
      <xdr:col>1</xdr:col>
      <xdr:colOff>0</xdr:colOff>
      <xdr:row>1</xdr:row>
      <xdr:rowOff>593</xdr:rowOff>
    </xdr:from>
    <xdr:to>
      <xdr:col>3</xdr:col>
      <xdr:colOff>115653</xdr:colOff>
      <xdr:row>2</xdr:row>
      <xdr:rowOff>0</xdr:rowOff>
    </xdr:to>
    <xdr:sp macro="" textlink="">
      <xdr:nvSpPr>
        <xdr:cNvPr id="33" name="Retângulo Arredondado 3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10F2B7B-8C38-384C-90A5-D4C6942AF66A}"/>
            </a:ext>
          </a:extLst>
        </xdr:cNvPr>
        <xdr:cNvSpPr/>
      </xdr:nvSpPr>
      <xdr:spPr>
        <a:xfrm>
          <a:off x="213645" y="445093"/>
          <a:ext cx="1005840" cy="166169"/>
        </a:xfrm>
        <a:prstGeom prst="roundRect">
          <a:avLst/>
        </a:prstGeom>
        <a:solidFill>
          <a:srgbClr val="FF46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Dashboard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1978</xdr:colOff>
      <xdr:row>0</xdr:row>
      <xdr:rowOff>0</xdr:rowOff>
    </xdr:from>
    <xdr:to>
      <xdr:col>3</xdr:col>
      <xdr:colOff>1006386</xdr:colOff>
      <xdr:row>1</xdr:row>
      <xdr:rowOff>593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13F506D8-3057-DB49-B20E-DABB768959F6}"/>
            </a:ext>
          </a:extLst>
        </xdr:cNvPr>
        <xdr:cNvSpPr txBox="1"/>
      </xdr:nvSpPr>
      <xdr:spPr>
        <a:xfrm>
          <a:off x="213645" y="0"/>
          <a:ext cx="4005841" cy="4450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rgbClr val="FF4600"/>
              </a:solidFill>
              <a:latin typeface="Century Gothic" panose="020B0502020202020204" pitchFamily="34" charset="0"/>
            </a:rPr>
            <a:t>Fluxo de Caixa</a:t>
          </a:r>
        </a:p>
        <a:p>
          <a:r>
            <a:rPr lang="pt-BR" sz="80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Desenvolvido</a:t>
          </a:r>
          <a:r>
            <a:rPr lang="pt-BR" sz="800" baseline="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 por: Prolog Consultoria e Treinamentos</a:t>
          </a:r>
          <a:endParaRPr lang="pt-BR" sz="800">
            <a:solidFill>
              <a:schemeClr val="tx1">
                <a:lumMod val="75000"/>
                <a:lumOff val="2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1</xdr:col>
      <xdr:colOff>1978</xdr:colOff>
      <xdr:row>1</xdr:row>
      <xdr:rowOff>593</xdr:rowOff>
    </xdr:from>
    <xdr:to>
      <xdr:col>1</xdr:col>
      <xdr:colOff>1003585</xdr:colOff>
      <xdr:row>2</xdr:row>
      <xdr:rowOff>1662</xdr:rowOff>
    </xdr:to>
    <xdr:sp macro="" textlink="">
      <xdr:nvSpPr>
        <xdr:cNvPr id="3" name="Retângulo Arredondad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629E71-F128-A84A-AC0E-8CDF611BCDC9}"/>
            </a:ext>
          </a:extLst>
        </xdr:cNvPr>
        <xdr:cNvSpPr/>
      </xdr:nvSpPr>
      <xdr:spPr>
        <a:xfrm>
          <a:off x="213645" y="445093"/>
          <a:ext cx="100584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Dashboard</a:t>
          </a:r>
        </a:p>
      </xdr:txBody>
    </xdr:sp>
    <xdr:clientData/>
  </xdr:twoCellAnchor>
  <xdr:twoCellAnchor editAs="absolute">
    <xdr:from>
      <xdr:col>1</xdr:col>
      <xdr:colOff>1088457</xdr:colOff>
      <xdr:row>1</xdr:row>
      <xdr:rowOff>593</xdr:rowOff>
    </xdr:from>
    <xdr:to>
      <xdr:col>2</xdr:col>
      <xdr:colOff>400117</xdr:colOff>
      <xdr:row>2</xdr:row>
      <xdr:rowOff>1662</xdr:rowOff>
    </xdr:to>
    <xdr:sp macro="" textlink="">
      <xdr:nvSpPr>
        <xdr:cNvPr id="4" name="Retângulo Arredondad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2590150-5919-BF4A-9610-5752E08448F1}"/>
            </a:ext>
          </a:extLst>
        </xdr:cNvPr>
        <xdr:cNvSpPr/>
      </xdr:nvSpPr>
      <xdr:spPr>
        <a:xfrm>
          <a:off x="1304357" y="445093"/>
          <a:ext cx="1280160" cy="166169"/>
        </a:xfrm>
        <a:prstGeom prst="roundRect">
          <a:avLst/>
        </a:prstGeom>
        <a:solidFill>
          <a:srgbClr val="FF46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Fluxo</a:t>
          </a:r>
          <a:r>
            <a:rPr lang="pt-BR" sz="1000" b="1" baseline="0">
              <a:solidFill>
                <a:schemeClr val="bg1"/>
              </a:solidFill>
              <a:latin typeface="Century Gothic" panose="020B0502020202020204" pitchFamily="34" charset="0"/>
            </a:rPr>
            <a:t> de Caixa</a:t>
          </a:r>
          <a:endParaRPr lang="pt-BR" sz="10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2</xdr:col>
      <xdr:colOff>484989</xdr:colOff>
      <xdr:row>1</xdr:row>
      <xdr:rowOff>593</xdr:rowOff>
    </xdr:from>
    <xdr:to>
      <xdr:col>3</xdr:col>
      <xdr:colOff>553569</xdr:colOff>
      <xdr:row>2</xdr:row>
      <xdr:rowOff>1662</xdr:rowOff>
    </xdr:to>
    <xdr:sp macro="" textlink="">
      <xdr:nvSpPr>
        <xdr:cNvPr id="5" name="Retângulo Arredondad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A1B6B46-E69F-3448-AAC2-4FC1D648202A}"/>
            </a:ext>
          </a:extLst>
        </xdr:cNvPr>
        <xdr:cNvSpPr/>
      </xdr:nvSpPr>
      <xdr:spPr>
        <a:xfrm>
          <a:off x="2669389" y="445093"/>
          <a:ext cx="10972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Lançamentos</a:t>
          </a:r>
        </a:p>
      </xdr:txBody>
    </xdr:sp>
    <xdr:clientData/>
  </xdr:twoCellAnchor>
  <xdr:twoCellAnchor editAs="absolute">
    <xdr:from>
      <xdr:col>3</xdr:col>
      <xdr:colOff>638442</xdr:colOff>
      <xdr:row>1</xdr:row>
      <xdr:rowOff>593</xdr:rowOff>
    </xdr:from>
    <xdr:to>
      <xdr:col>4</xdr:col>
      <xdr:colOff>135522</xdr:colOff>
      <xdr:row>2</xdr:row>
      <xdr:rowOff>1662</xdr:rowOff>
    </xdr:to>
    <xdr:sp macro="" textlink="">
      <xdr:nvSpPr>
        <xdr:cNvPr id="6" name="Retângulo Arredondad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3C274FB-52F8-164B-9045-49F92EC5D9D8}"/>
            </a:ext>
          </a:extLst>
        </xdr:cNvPr>
        <xdr:cNvSpPr/>
      </xdr:nvSpPr>
      <xdr:spPr>
        <a:xfrm>
          <a:off x="3851542" y="445093"/>
          <a:ext cx="6400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Filtros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1978</xdr:colOff>
      <xdr:row>0</xdr:row>
      <xdr:rowOff>0</xdr:rowOff>
    </xdr:from>
    <xdr:to>
      <xdr:col>3</xdr:col>
      <xdr:colOff>218986</xdr:colOff>
      <xdr:row>1</xdr:row>
      <xdr:rowOff>593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87D8D69-CEAD-CF42-91DC-3FF79E86E0B9}"/>
            </a:ext>
          </a:extLst>
        </xdr:cNvPr>
        <xdr:cNvSpPr txBox="1"/>
      </xdr:nvSpPr>
      <xdr:spPr>
        <a:xfrm>
          <a:off x="213645" y="0"/>
          <a:ext cx="4005841" cy="4450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rgbClr val="FF4600"/>
              </a:solidFill>
              <a:latin typeface="Century Gothic" panose="020B0502020202020204" pitchFamily="34" charset="0"/>
            </a:rPr>
            <a:t>Fluxo de Caixa</a:t>
          </a:r>
        </a:p>
        <a:p>
          <a:r>
            <a:rPr lang="pt-BR" sz="80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Desenvolvido</a:t>
          </a:r>
          <a:r>
            <a:rPr lang="pt-BR" sz="800" baseline="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 por: Prolog Consultoria e Treinamentos</a:t>
          </a:r>
          <a:endParaRPr lang="pt-BR" sz="800">
            <a:solidFill>
              <a:schemeClr val="tx1">
                <a:lumMod val="75000"/>
                <a:lumOff val="2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1</xdr:col>
      <xdr:colOff>1978</xdr:colOff>
      <xdr:row>1</xdr:row>
      <xdr:rowOff>593</xdr:rowOff>
    </xdr:from>
    <xdr:to>
      <xdr:col>1</xdr:col>
      <xdr:colOff>1003585</xdr:colOff>
      <xdr:row>2</xdr:row>
      <xdr:rowOff>1662</xdr:rowOff>
    </xdr:to>
    <xdr:sp macro="" textlink="">
      <xdr:nvSpPr>
        <xdr:cNvPr id="3" name="Retângulo Arredondad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E6560F-29AB-954B-83E1-5619E53649A5}"/>
            </a:ext>
          </a:extLst>
        </xdr:cNvPr>
        <xdr:cNvSpPr/>
      </xdr:nvSpPr>
      <xdr:spPr>
        <a:xfrm>
          <a:off x="213645" y="445093"/>
          <a:ext cx="100584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Dashboard</a:t>
          </a:r>
        </a:p>
      </xdr:txBody>
    </xdr:sp>
    <xdr:clientData/>
  </xdr:twoCellAnchor>
  <xdr:twoCellAnchor editAs="absolute">
    <xdr:from>
      <xdr:col>1</xdr:col>
      <xdr:colOff>1088457</xdr:colOff>
      <xdr:row>1</xdr:row>
      <xdr:rowOff>593</xdr:rowOff>
    </xdr:from>
    <xdr:to>
      <xdr:col>2</xdr:col>
      <xdr:colOff>476317</xdr:colOff>
      <xdr:row>2</xdr:row>
      <xdr:rowOff>1662</xdr:rowOff>
    </xdr:to>
    <xdr:sp macro="" textlink="">
      <xdr:nvSpPr>
        <xdr:cNvPr id="4" name="Retângulo Arredondad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246EA29-F923-F143-8D7C-2AF2401C1D7A}"/>
            </a:ext>
          </a:extLst>
        </xdr:cNvPr>
        <xdr:cNvSpPr/>
      </xdr:nvSpPr>
      <xdr:spPr>
        <a:xfrm>
          <a:off x="1304357" y="445093"/>
          <a:ext cx="128016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Fluxo</a:t>
          </a:r>
          <a:r>
            <a:rPr lang="pt-BR" sz="1000" b="1" baseline="0">
              <a:solidFill>
                <a:schemeClr val="bg1"/>
              </a:solidFill>
              <a:latin typeface="Century Gothic" panose="020B0502020202020204" pitchFamily="34" charset="0"/>
            </a:rPr>
            <a:t> de Caixa</a:t>
          </a:r>
          <a:endParaRPr lang="pt-BR" sz="10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2</xdr:col>
      <xdr:colOff>561189</xdr:colOff>
      <xdr:row>1</xdr:row>
      <xdr:rowOff>593</xdr:rowOff>
    </xdr:from>
    <xdr:to>
      <xdr:col>2</xdr:col>
      <xdr:colOff>1658469</xdr:colOff>
      <xdr:row>2</xdr:row>
      <xdr:rowOff>1662</xdr:rowOff>
    </xdr:to>
    <xdr:sp macro="" textlink="">
      <xdr:nvSpPr>
        <xdr:cNvPr id="5" name="Retângulo Arredondad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7810C08-31DB-994C-8A20-8129CAA2BB3A}"/>
            </a:ext>
          </a:extLst>
        </xdr:cNvPr>
        <xdr:cNvSpPr/>
      </xdr:nvSpPr>
      <xdr:spPr>
        <a:xfrm>
          <a:off x="2669389" y="445093"/>
          <a:ext cx="1097280" cy="166169"/>
        </a:xfrm>
        <a:prstGeom prst="roundRect">
          <a:avLst/>
        </a:prstGeom>
        <a:solidFill>
          <a:srgbClr val="FF46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Lançamentos</a:t>
          </a:r>
        </a:p>
      </xdr:txBody>
    </xdr:sp>
    <xdr:clientData/>
  </xdr:twoCellAnchor>
  <xdr:twoCellAnchor editAs="absolute">
    <xdr:from>
      <xdr:col>2</xdr:col>
      <xdr:colOff>1743342</xdr:colOff>
      <xdr:row>1</xdr:row>
      <xdr:rowOff>593</xdr:rowOff>
    </xdr:from>
    <xdr:to>
      <xdr:col>3</xdr:col>
      <xdr:colOff>491122</xdr:colOff>
      <xdr:row>2</xdr:row>
      <xdr:rowOff>1662</xdr:rowOff>
    </xdr:to>
    <xdr:sp macro="" textlink="">
      <xdr:nvSpPr>
        <xdr:cNvPr id="6" name="Retângulo Arredondad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280BCE3-4121-F04E-B717-9C2B593839E4}"/>
            </a:ext>
          </a:extLst>
        </xdr:cNvPr>
        <xdr:cNvSpPr/>
      </xdr:nvSpPr>
      <xdr:spPr>
        <a:xfrm>
          <a:off x="3851542" y="445093"/>
          <a:ext cx="6400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Filtros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1978</xdr:colOff>
      <xdr:row>0</xdr:row>
      <xdr:rowOff>0</xdr:rowOff>
    </xdr:from>
    <xdr:to>
      <xdr:col>3</xdr:col>
      <xdr:colOff>892086</xdr:colOff>
      <xdr:row>1</xdr:row>
      <xdr:rowOff>593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E8388AE-D005-3549-B148-3FFFDE13802F}"/>
            </a:ext>
          </a:extLst>
        </xdr:cNvPr>
        <xdr:cNvSpPr txBox="1"/>
      </xdr:nvSpPr>
      <xdr:spPr>
        <a:xfrm>
          <a:off x="213645" y="0"/>
          <a:ext cx="4005841" cy="4450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rgbClr val="FF4600"/>
              </a:solidFill>
              <a:latin typeface="Century Gothic" panose="020B0502020202020204" pitchFamily="34" charset="0"/>
            </a:rPr>
            <a:t>Fluxo de Caixa</a:t>
          </a:r>
        </a:p>
        <a:p>
          <a:r>
            <a:rPr lang="pt-BR" sz="80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Desenvolvido</a:t>
          </a:r>
          <a:r>
            <a:rPr lang="pt-BR" sz="800" baseline="0">
              <a:solidFill>
                <a:schemeClr val="tx1">
                  <a:lumMod val="75000"/>
                  <a:lumOff val="25000"/>
                </a:schemeClr>
              </a:solidFill>
              <a:latin typeface="Century Gothic" panose="020B0502020202020204" pitchFamily="34" charset="0"/>
            </a:rPr>
            <a:t> por: Prolog Consultoria e Treinamentos</a:t>
          </a:r>
          <a:endParaRPr lang="pt-BR" sz="800">
            <a:solidFill>
              <a:schemeClr val="tx1">
                <a:lumMod val="75000"/>
                <a:lumOff val="25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1</xdr:col>
      <xdr:colOff>1978</xdr:colOff>
      <xdr:row>1</xdr:row>
      <xdr:rowOff>593</xdr:rowOff>
    </xdr:from>
    <xdr:to>
      <xdr:col>1</xdr:col>
      <xdr:colOff>1003585</xdr:colOff>
      <xdr:row>2</xdr:row>
      <xdr:rowOff>1662</xdr:rowOff>
    </xdr:to>
    <xdr:sp macro="" textlink="">
      <xdr:nvSpPr>
        <xdr:cNvPr id="3" name="Retângulo Arredondad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84E4C6-6718-4E4B-97B0-413E26424BF2}"/>
            </a:ext>
          </a:extLst>
        </xdr:cNvPr>
        <xdr:cNvSpPr/>
      </xdr:nvSpPr>
      <xdr:spPr>
        <a:xfrm>
          <a:off x="213645" y="445093"/>
          <a:ext cx="100584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Dashboard</a:t>
          </a:r>
        </a:p>
      </xdr:txBody>
    </xdr:sp>
    <xdr:clientData/>
  </xdr:twoCellAnchor>
  <xdr:twoCellAnchor editAs="absolute">
    <xdr:from>
      <xdr:col>1</xdr:col>
      <xdr:colOff>1088457</xdr:colOff>
      <xdr:row>1</xdr:row>
      <xdr:rowOff>593</xdr:rowOff>
    </xdr:from>
    <xdr:to>
      <xdr:col>2</xdr:col>
      <xdr:colOff>69917</xdr:colOff>
      <xdr:row>2</xdr:row>
      <xdr:rowOff>1662</xdr:rowOff>
    </xdr:to>
    <xdr:sp macro="" textlink="">
      <xdr:nvSpPr>
        <xdr:cNvPr id="4" name="Retângulo Arredondad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93072FF-2A08-9041-B39C-BA338210EEA3}"/>
            </a:ext>
          </a:extLst>
        </xdr:cNvPr>
        <xdr:cNvSpPr/>
      </xdr:nvSpPr>
      <xdr:spPr>
        <a:xfrm>
          <a:off x="1304357" y="445093"/>
          <a:ext cx="128016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Fluxo</a:t>
          </a:r>
          <a:r>
            <a:rPr lang="pt-BR" sz="1000" b="1" baseline="0">
              <a:solidFill>
                <a:schemeClr val="bg1"/>
              </a:solidFill>
              <a:latin typeface="Century Gothic" panose="020B0502020202020204" pitchFamily="34" charset="0"/>
            </a:rPr>
            <a:t> de Caixa</a:t>
          </a:r>
          <a:endParaRPr lang="pt-BR" sz="10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absolute">
    <xdr:from>
      <xdr:col>2</xdr:col>
      <xdr:colOff>154789</xdr:colOff>
      <xdr:row>1</xdr:row>
      <xdr:rowOff>593</xdr:rowOff>
    </xdr:from>
    <xdr:to>
      <xdr:col>3</xdr:col>
      <xdr:colOff>439269</xdr:colOff>
      <xdr:row>2</xdr:row>
      <xdr:rowOff>1662</xdr:rowOff>
    </xdr:to>
    <xdr:sp macro="" textlink="">
      <xdr:nvSpPr>
        <xdr:cNvPr id="5" name="Retângulo Arredondad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F2E0B1A-E4A0-0D4E-9284-9962BDC00005}"/>
            </a:ext>
          </a:extLst>
        </xdr:cNvPr>
        <xdr:cNvSpPr/>
      </xdr:nvSpPr>
      <xdr:spPr>
        <a:xfrm>
          <a:off x="2669389" y="445093"/>
          <a:ext cx="1097280" cy="166169"/>
        </a:xfrm>
        <a:prstGeom prst="round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Lançamentos</a:t>
          </a:r>
        </a:p>
      </xdr:txBody>
    </xdr:sp>
    <xdr:clientData/>
  </xdr:twoCellAnchor>
  <xdr:twoCellAnchor editAs="absolute">
    <xdr:from>
      <xdr:col>3</xdr:col>
      <xdr:colOff>524142</xdr:colOff>
      <xdr:row>1</xdr:row>
      <xdr:rowOff>593</xdr:rowOff>
    </xdr:from>
    <xdr:to>
      <xdr:col>3</xdr:col>
      <xdr:colOff>1164222</xdr:colOff>
      <xdr:row>2</xdr:row>
      <xdr:rowOff>1662</xdr:rowOff>
    </xdr:to>
    <xdr:sp macro="" textlink="">
      <xdr:nvSpPr>
        <xdr:cNvPr id="6" name="Retângulo Arredondad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676D530-714D-1D44-8BAA-EB408CFC7F19}"/>
            </a:ext>
          </a:extLst>
        </xdr:cNvPr>
        <xdr:cNvSpPr/>
      </xdr:nvSpPr>
      <xdr:spPr>
        <a:xfrm>
          <a:off x="3851542" y="445093"/>
          <a:ext cx="640080" cy="166169"/>
        </a:xfrm>
        <a:prstGeom prst="roundRect">
          <a:avLst/>
        </a:prstGeom>
        <a:solidFill>
          <a:srgbClr val="FF46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solidFill>
                <a:schemeClr val="bg1"/>
              </a:solidFill>
              <a:latin typeface="Century Gothic" panose="020B0502020202020204" pitchFamily="34" charset="0"/>
            </a:rPr>
            <a:t>Filtros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stavo Willys" refreshedDate="45336.371695138892" createdVersion="8" refreshedVersion="8" minRefreshableVersion="3" recordCount="19" xr:uid="{1259CB76-ECB3-964F-9603-A009BD3BF0C0}">
  <cacheSource type="worksheet">
    <worksheetSource name="tb_lancamentos"/>
  </cacheSource>
  <cacheFields count="19">
    <cacheField name="Item" numFmtId="0">
      <sharedItems count="6">
        <s v="(R) - Venda de Produto"/>
        <s v="(D) - Aluguel"/>
        <s v="(D) - Matéria Prima"/>
        <s v="(R) - Outro"/>
        <s v="(R) - Crédito/Financiamento"/>
        <s v="(R) - Venda de Produtos" u="1"/>
      </sharedItems>
    </cacheField>
    <cacheField name="Descrição" numFmtId="0">
      <sharedItems containsBlank="1"/>
    </cacheField>
    <cacheField name="Movimentação" numFmtId="14">
      <sharedItems containsSemiMixedTypes="0" containsNonDate="0" containsDate="1" containsString="0" minDate="2023-11-01T00:00:00" maxDate="2025-01-02T00:00:00" count="18">
        <d v="2023-11-01T00:00:00"/>
        <d v="2024-01-02T00:00:00"/>
        <d v="2024-01-04T00:00:00"/>
        <d v="2024-01-13T00:00:00"/>
        <d v="2024-02-02T00:00:00"/>
        <d v="2024-02-08T00:00:00"/>
        <d v="2024-01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d v="2024-03-01T00:00:00"/>
        <d v="2025-01-01T00:00:00" u="1"/>
      </sharedItems>
    </cacheField>
    <cacheField name="Valor" numFmtId="4">
      <sharedItems containsSemiMixedTypes="0" containsString="0" containsNumber="1" minValue="3860" maxValue="24000"/>
    </cacheField>
    <cacheField name="Conta" numFmtId="0">
      <sharedItems count="4">
        <s v="Banco 1"/>
        <s v="Em espécie"/>
        <s v="Banco 2"/>
        <s v="Banco X" u="1"/>
      </sharedItems>
    </cacheField>
    <cacheField name="Status Valor" numFmtId="0">
      <sharedItems count="2">
        <s v="Realizado"/>
        <s v="Provisão"/>
      </sharedItems>
    </cacheField>
    <cacheField name="Fluxo" numFmtId="0">
      <sharedItems count="3">
        <s v="Receita"/>
        <s v="Despesa"/>
        <s v="-" u="1"/>
      </sharedItems>
    </cacheField>
    <cacheField name="Categoria" numFmtId="0">
      <sharedItems count="7">
        <s v="Vendas"/>
        <s v="Custo Operação"/>
        <s v="Fornecedores"/>
        <s v="Outro"/>
        <s v="Captação"/>
        <s v="-" u="1"/>
        <s v="Operação" u="1"/>
      </sharedItems>
    </cacheField>
    <cacheField name="Subcategoria" numFmtId="0">
      <sharedItems containsMixedTypes="1" containsNumber="1" containsInteger="1" minValue="0" maxValue="0" count="2">
        <s v="-"/>
        <n v="0" u="1"/>
      </sharedItems>
    </cacheField>
    <cacheField name="Dt Caixa" numFmtId="164">
      <sharedItems containsSemiMixedTypes="0" containsNonDate="0" containsDate="1" containsString="0" minDate="2023-11-01T00:00:00" maxDate="2025-01-02T00:00:00" count="14">
        <d v="2023-11-01T00:00:00"/>
        <d v="2024-01-01T00:00:00"/>
        <d v="2024-02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/>
        <d v="2024-03-01T00:00:00"/>
        <d v="2025-01-01T00:00:00" u="1"/>
      </sharedItems>
      <fieldGroup par="17"/>
    </cacheField>
    <cacheField name="Ano" numFmtId="0">
      <sharedItems containsSemiMixedTypes="0" containsString="0" containsNumber="1" containsInteger="1" minValue="2023" maxValue="2025" count="3">
        <n v="2023"/>
        <n v="2024"/>
        <n v="2025" u="1"/>
      </sharedItems>
    </cacheField>
    <cacheField name="Mês" numFmtId="164">
      <sharedItems count="12">
        <s v="11 -  Novembro"/>
        <s v="01 -  Janeiro"/>
        <s v="02 -  Fevereiro"/>
        <s v="04 -  Abril"/>
        <s v="05 -  Maio"/>
        <s v="06 -  Junho"/>
        <s v="07 -  Julho"/>
        <s v="08 -  Agosto"/>
        <s v="09 -  Setembro"/>
        <s v="10 -  Outubro"/>
        <s v="12 -  Dezembro"/>
        <s v="03 -  Março"/>
      </sharedItems>
    </cacheField>
    <cacheField name="Filtro Status" numFmtId="0">
      <sharedItems containsSemiMixedTypes="0" containsString="0" containsNumber="1" containsInteger="1" minValue="1" maxValue="1"/>
    </cacheField>
    <cacheField name="Receita" numFmtId="4">
      <sharedItems containsSemiMixedTypes="0" containsString="0" containsNumber="1" minValue="0" maxValue="24000"/>
    </cacheField>
    <cacheField name="Despesa" numFmtId="4">
      <sharedItems containsSemiMixedTypes="0" containsString="0" containsNumber="1" containsInteger="1" minValue="0" maxValue="18500"/>
    </cacheField>
    <cacheField name="Meses (Dt Caixa)" numFmtId="0" databaseField="0">
      <fieldGroup base="9">
        <rangePr groupBy="months" startDate="2023-11-01T00:00:00" endDate="2024-12-02T00:00:00"/>
        <groupItems count="14">
          <s v="&lt;01/11/2023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02/12/2024"/>
        </groupItems>
      </fieldGroup>
    </cacheField>
    <cacheField name="Trimestres (Dt Caixa)" numFmtId="0" databaseField="0">
      <fieldGroup base="9">
        <rangePr groupBy="quarters" startDate="2023-11-01T00:00:00" endDate="2024-12-02T00:00:00"/>
        <groupItems count="6">
          <s v="&lt;01/11/2023"/>
          <s v="Trim1"/>
          <s v="Trim2"/>
          <s v="Trim3"/>
          <s v="Trim4"/>
          <s v="&gt;02/12/2024"/>
        </groupItems>
      </fieldGroup>
    </cacheField>
    <cacheField name="Anos (Dt Caixa)" numFmtId="0" databaseField="0">
      <fieldGroup base="9">
        <rangePr groupBy="years" startDate="2023-11-01T00:00:00" endDate="2024-12-02T00:00:00"/>
        <groupItems count="4">
          <s v="&lt;01/11/2023"/>
          <s v="2023"/>
          <s v="2024"/>
          <s v="&gt;02/12/2024"/>
        </groupItems>
      </fieldGroup>
    </cacheField>
    <cacheField name="tbd_saldo" numFmtId="0" formula="Receita-Despesa" databaseField="0"/>
  </cacheFields>
  <extLst>
    <ext xmlns:x14="http://schemas.microsoft.com/office/spreadsheetml/2009/9/main" uri="{725AE2AE-9491-48be-B2B4-4EB974FC3084}">
      <x14:pivotCacheDefinition pivotCacheId="19599687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s v="-"/>
    <x v="0"/>
    <n v="24000"/>
    <x v="0"/>
    <x v="0"/>
    <x v="0"/>
    <x v="0"/>
    <x v="0"/>
    <x v="0"/>
    <x v="0"/>
    <x v="0"/>
    <n v="1"/>
    <n v="24000"/>
    <n v="0"/>
  </r>
  <r>
    <x v="1"/>
    <s v="-"/>
    <x v="0"/>
    <n v="18500"/>
    <x v="0"/>
    <x v="0"/>
    <x v="1"/>
    <x v="1"/>
    <x v="0"/>
    <x v="0"/>
    <x v="0"/>
    <x v="0"/>
    <n v="1"/>
    <n v="0"/>
    <n v="18500"/>
  </r>
  <r>
    <x v="0"/>
    <s v="Produto 001 - 10 Unidades"/>
    <x v="1"/>
    <n v="12450"/>
    <x v="0"/>
    <x v="0"/>
    <x v="0"/>
    <x v="0"/>
    <x v="0"/>
    <x v="1"/>
    <x v="1"/>
    <x v="1"/>
    <n v="1"/>
    <n v="12450"/>
    <n v="0"/>
  </r>
  <r>
    <x v="0"/>
    <s v="Produto 020 - 5 Unidades"/>
    <x v="2"/>
    <n v="4505.5"/>
    <x v="0"/>
    <x v="0"/>
    <x v="0"/>
    <x v="0"/>
    <x v="0"/>
    <x v="1"/>
    <x v="1"/>
    <x v="1"/>
    <n v="1"/>
    <n v="4505.5"/>
    <n v="0"/>
  </r>
  <r>
    <x v="2"/>
    <s v="-"/>
    <x v="3"/>
    <n v="3860"/>
    <x v="0"/>
    <x v="0"/>
    <x v="1"/>
    <x v="2"/>
    <x v="0"/>
    <x v="1"/>
    <x v="1"/>
    <x v="1"/>
    <n v="1"/>
    <n v="0"/>
    <n v="3860"/>
  </r>
  <r>
    <x v="0"/>
    <s v="-"/>
    <x v="4"/>
    <n v="15890"/>
    <x v="0"/>
    <x v="0"/>
    <x v="0"/>
    <x v="0"/>
    <x v="0"/>
    <x v="2"/>
    <x v="1"/>
    <x v="2"/>
    <n v="1"/>
    <n v="15890"/>
    <n v="0"/>
  </r>
  <r>
    <x v="2"/>
    <s v="-"/>
    <x v="5"/>
    <n v="8900"/>
    <x v="0"/>
    <x v="0"/>
    <x v="1"/>
    <x v="2"/>
    <x v="0"/>
    <x v="2"/>
    <x v="1"/>
    <x v="2"/>
    <n v="1"/>
    <n v="0"/>
    <n v="8900"/>
  </r>
  <r>
    <x v="3"/>
    <m/>
    <x v="6"/>
    <n v="12500"/>
    <x v="1"/>
    <x v="1"/>
    <x v="0"/>
    <x v="3"/>
    <x v="0"/>
    <x v="1"/>
    <x v="1"/>
    <x v="1"/>
    <n v="1"/>
    <n v="12500"/>
    <n v="0"/>
  </r>
  <r>
    <x v="3"/>
    <s v="-"/>
    <x v="7"/>
    <n v="15890"/>
    <x v="0"/>
    <x v="0"/>
    <x v="0"/>
    <x v="3"/>
    <x v="0"/>
    <x v="3"/>
    <x v="1"/>
    <x v="3"/>
    <n v="1"/>
    <n v="15890"/>
    <n v="0"/>
  </r>
  <r>
    <x v="3"/>
    <s v="-"/>
    <x v="8"/>
    <n v="15890"/>
    <x v="1"/>
    <x v="0"/>
    <x v="0"/>
    <x v="3"/>
    <x v="0"/>
    <x v="4"/>
    <x v="1"/>
    <x v="4"/>
    <n v="1"/>
    <n v="15890"/>
    <n v="0"/>
  </r>
  <r>
    <x v="0"/>
    <s v="-"/>
    <x v="9"/>
    <n v="15890"/>
    <x v="0"/>
    <x v="0"/>
    <x v="0"/>
    <x v="0"/>
    <x v="0"/>
    <x v="5"/>
    <x v="1"/>
    <x v="5"/>
    <n v="1"/>
    <n v="15890"/>
    <n v="0"/>
  </r>
  <r>
    <x v="3"/>
    <s v="-"/>
    <x v="10"/>
    <n v="15890"/>
    <x v="0"/>
    <x v="0"/>
    <x v="0"/>
    <x v="3"/>
    <x v="0"/>
    <x v="6"/>
    <x v="1"/>
    <x v="6"/>
    <n v="1"/>
    <n v="15890"/>
    <n v="0"/>
  </r>
  <r>
    <x v="0"/>
    <s v="-"/>
    <x v="11"/>
    <n v="15890"/>
    <x v="2"/>
    <x v="0"/>
    <x v="0"/>
    <x v="0"/>
    <x v="0"/>
    <x v="7"/>
    <x v="1"/>
    <x v="7"/>
    <n v="1"/>
    <n v="15890"/>
    <n v="0"/>
  </r>
  <r>
    <x v="3"/>
    <s v="-"/>
    <x v="12"/>
    <n v="15890"/>
    <x v="2"/>
    <x v="0"/>
    <x v="0"/>
    <x v="3"/>
    <x v="0"/>
    <x v="8"/>
    <x v="1"/>
    <x v="8"/>
    <n v="1"/>
    <n v="15890"/>
    <n v="0"/>
  </r>
  <r>
    <x v="4"/>
    <s v="-"/>
    <x v="13"/>
    <n v="15890"/>
    <x v="0"/>
    <x v="0"/>
    <x v="0"/>
    <x v="4"/>
    <x v="0"/>
    <x v="9"/>
    <x v="1"/>
    <x v="9"/>
    <n v="1"/>
    <n v="15890"/>
    <n v="0"/>
  </r>
  <r>
    <x v="3"/>
    <s v="-"/>
    <x v="14"/>
    <n v="15890"/>
    <x v="0"/>
    <x v="0"/>
    <x v="0"/>
    <x v="3"/>
    <x v="0"/>
    <x v="10"/>
    <x v="1"/>
    <x v="0"/>
    <n v="1"/>
    <n v="15890"/>
    <n v="0"/>
  </r>
  <r>
    <x v="4"/>
    <s v="-"/>
    <x v="15"/>
    <n v="15890"/>
    <x v="0"/>
    <x v="0"/>
    <x v="0"/>
    <x v="4"/>
    <x v="0"/>
    <x v="11"/>
    <x v="1"/>
    <x v="10"/>
    <n v="1"/>
    <n v="15890"/>
    <n v="0"/>
  </r>
  <r>
    <x v="3"/>
    <s v="-"/>
    <x v="16"/>
    <n v="15890"/>
    <x v="0"/>
    <x v="0"/>
    <x v="0"/>
    <x v="3"/>
    <x v="0"/>
    <x v="12"/>
    <x v="1"/>
    <x v="11"/>
    <n v="1"/>
    <n v="15890"/>
    <n v="0"/>
  </r>
  <r>
    <x v="1"/>
    <m/>
    <x v="9"/>
    <n v="4677"/>
    <x v="0"/>
    <x v="0"/>
    <x v="1"/>
    <x v="1"/>
    <x v="0"/>
    <x v="5"/>
    <x v="1"/>
    <x v="5"/>
    <n v="1"/>
    <n v="0"/>
    <n v="46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0632B8-34CC-3747-94D5-566344C43C2E}" name="tbd_dash_despesa_mensal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4">
  <location ref="R4:S18" firstHeaderRow="1" firstDataRow="1" firstDataCol="1"/>
  <pivotFields count="19">
    <pivotField showAll="0"/>
    <pivotField showAll="0"/>
    <pivotField numFmtId="14" showAll="0"/>
    <pivotField numFmtId="4" showAll="0"/>
    <pivotField showAll="0">
      <items count="5">
        <item x="0"/>
        <item x="2"/>
        <item m="1" x="3"/>
        <item x="1"/>
        <item t="default"/>
      </items>
    </pivotField>
    <pivotField showAll="0">
      <items count="3">
        <item x="1"/>
        <item x="0"/>
        <item t="default"/>
      </items>
    </pivotField>
    <pivotField multipleItemSelectionAllowed="1" showAll="0"/>
    <pivotField showAll="0">
      <items count="8">
        <item m="1" x="5"/>
        <item x="4"/>
        <item x="1"/>
        <item x="2"/>
        <item m="1" x="6"/>
        <item x="3"/>
        <item x="0"/>
        <item t="default"/>
      </items>
    </pivotField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3"/>
        <item x="12"/>
        <item t="default"/>
      </items>
    </pivotField>
    <pivotField showAll="0">
      <items count="4">
        <item x="0"/>
        <item x="1"/>
        <item m="1" x="2"/>
        <item t="default"/>
      </items>
    </pivotField>
    <pivotField showAll="0">
      <items count="13">
        <item x="1"/>
        <item x="2"/>
        <item x="11"/>
        <item x="3"/>
        <item x="4"/>
        <item x="5"/>
        <item x="6"/>
        <item x="7"/>
        <item x="8"/>
        <item x="9"/>
        <item x="0"/>
        <item x="10"/>
        <item t="default"/>
      </items>
    </pivotField>
    <pivotField showAll="0"/>
    <pivotField numFmtId="4" showAll="0"/>
    <pivotField dataField="1" numFmtId="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showAll="0">
      <items count="5">
        <item sd="0" x="0"/>
        <item sd="0" x="1"/>
        <item sd="0" x="2"/>
        <item x="3"/>
        <item t="default"/>
      </items>
    </pivotField>
    <pivotField dragToRow="0" dragToCol="0" dragToPage="0" showAll="0" defaultSubtotal="0"/>
  </pivotFields>
  <rowFields count="1">
    <field x="9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 t="grand">
      <x/>
    </i>
  </rowItems>
  <colItems count="1">
    <i/>
  </colItems>
  <dataFields count="1">
    <dataField name="Soma de Despesa" fld="14" baseField="0" baseItem="0" numFmtId="165"/>
  </dataFields>
  <chartFormats count="1"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3F66F1-4801-6B44-A326-E395D678A315}" name="tbd_dash_saldo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C4:E5" firstHeaderRow="0" firstDataRow="1" firstDataCol="0"/>
  <pivotFields count="19">
    <pivotField showAll="0"/>
    <pivotField showAll="0"/>
    <pivotField numFmtId="14" showAll="0"/>
    <pivotField numFmtId="4" showAll="0"/>
    <pivotField showAll="0">
      <items count="5">
        <item x="0"/>
        <item x="2"/>
        <item m="1" x="3"/>
        <item x="1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m="1" x="2"/>
        <item x="1"/>
        <item x="0"/>
        <item t="default"/>
      </items>
    </pivotField>
    <pivotField showAll="0">
      <items count="8">
        <item m="1" x="5"/>
        <item x="4"/>
        <item x="1"/>
        <item x="2"/>
        <item m="1" x="6"/>
        <item x="3"/>
        <item x="0"/>
        <item t="default"/>
      </items>
    </pivotField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3"/>
        <item x="12"/>
        <item t="default"/>
      </items>
    </pivotField>
    <pivotField showAll="0">
      <items count="4">
        <item x="0"/>
        <item x="1"/>
        <item m="1" x="2"/>
        <item t="default"/>
      </items>
    </pivotField>
    <pivotField showAll="0">
      <items count="13">
        <item x="1"/>
        <item x="2"/>
        <item x="11"/>
        <item x="3"/>
        <item x="4"/>
        <item x="5"/>
        <item x="6"/>
        <item x="7"/>
        <item x="8"/>
        <item x="9"/>
        <item x="0"/>
        <item x="10"/>
        <item t="default"/>
      </items>
    </pivotField>
    <pivotField showAll="0"/>
    <pivotField dataField="1" numFmtId="4" showAll="0"/>
    <pivotField dataField="1" numFmtId="4" showAll="0"/>
    <pivotField showAll="0" defaultSubtotal="0"/>
    <pivotField showAll="0" defaultSubtotal="0"/>
    <pivotField showAll="0" defaultSubtotal="0">
      <items count="4">
        <item x="0"/>
        <item x="1"/>
        <item x="2"/>
        <item x="3"/>
      </items>
    </pivotField>
    <pivotField dataField="1" dragToRow="0" dragToCol="0" dragToPage="0" showAll="0" defaultSubtotal="0"/>
  </pivotFields>
  <rowItems count="1">
    <i/>
  </rowItems>
  <colFields count="1">
    <field x="-2"/>
  </colFields>
  <colItems count="3">
    <i>
      <x/>
    </i>
    <i i="1">
      <x v="1"/>
    </i>
    <i i="2">
      <x v="2"/>
    </i>
  </colItems>
  <dataFields count="3">
    <dataField name="Soma de Receita" fld="13" baseField="0" baseItem="0" numFmtId="165"/>
    <dataField name="Soma de Despesa" fld="14" baseField="0" baseItem="0" numFmtId="165"/>
    <dataField name="Soma de tbd_saldo" fld="18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477012-A4DF-754D-8074-D6AF7CE192E3}" name="tbd_dash_receita_mensal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3">
  <location ref="N4:O18" firstHeaderRow="1" firstDataRow="1" firstDataCol="1"/>
  <pivotFields count="19">
    <pivotField showAll="0"/>
    <pivotField showAll="0"/>
    <pivotField numFmtId="14" showAll="0"/>
    <pivotField numFmtId="4" showAll="0"/>
    <pivotField showAll="0">
      <items count="5">
        <item x="0"/>
        <item x="2"/>
        <item m="1" x="3"/>
        <item x="1"/>
        <item t="default"/>
      </items>
    </pivotField>
    <pivotField showAll="0">
      <items count="3">
        <item x="1"/>
        <item x="0"/>
        <item t="default"/>
      </items>
    </pivotField>
    <pivotField multipleItemSelectionAllowed="1" showAll="0"/>
    <pivotField showAll="0">
      <items count="8">
        <item m="1" x="5"/>
        <item x="4"/>
        <item x="1"/>
        <item x="2"/>
        <item m="1" x="6"/>
        <item x="3"/>
        <item x="0"/>
        <item t="default"/>
      </items>
    </pivotField>
    <pivotField showAll="0"/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3"/>
        <item x="12"/>
        <item t="default"/>
      </items>
    </pivotField>
    <pivotField showAll="0">
      <items count="4">
        <item x="0"/>
        <item x="1"/>
        <item m="1" x="2"/>
        <item t="default"/>
      </items>
    </pivotField>
    <pivotField showAll="0">
      <items count="13">
        <item x="1"/>
        <item x="2"/>
        <item x="11"/>
        <item x="3"/>
        <item x="4"/>
        <item x="5"/>
        <item x="6"/>
        <item x="7"/>
        <item x="8"/>
        <item x="9"/>
        <item x="0"/>
        <item x="10"/>
        <item t="default"/>
      </items>
    </pivotField>
    <pivotField showAll="0"/>
    <pivotField dataField="1" numFmtId="4" showAll="0"/>
    <pivotField numFmtId="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showAll="0">
      <items count="5">
        <item sd="0" x="0"/>
        <item sd="0" x="1"/>
        <item sd="0" x="2"/>
        <item x="3"/>
        <item t="default"/>
      </items>
    </pivotField>
    <pivotField dragToRow="0" dragToCol="0" dragToPage="0" showAll="0" defaultSubtotal="0"/>
  </pivotFields>
  <rowFields count="1">
    <field x="9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 t="grand">
      <x/>
    </i>
  </rowItems>
  <colItems count="1">
    <i/>
  </colItems>
  <dataFields count="1">
    <dataField name="Soma de Receita" fld="13" baseField="0" baseItem="0" numFmtId="165"/>
  </dataFields>
  <chartFormats count="1">
    <chartFormat chart="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4E0D9-B135-5F40-8924-B279702A3A89}" name="tbd_dash_receita_e_despesa_mensal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9">
  <location ref="H4:K18" firstHeaderRow="0" firstDataRow="1" firstDataCol="1"/>
  <pivotFields count="19">
    <pivotField showAll="0"/>
    <pivotField showAll="0"/>
    <pivotField numFmtId="14" showAll="0">
      <items count="19">
        <item x="0"/>
        <item x="6"/>
        <item x="1"/>
        <item x="2"/>
        <item x="3"/>
        <item x="4"/>
        <item x="5"/>
        <item x="16"/>
        <item x="7"/>
        <item x="8"/>
        <item x="9"/>
        <item x="10"/>
        <item x="11"/>
        <item x="12"/>
        <item x="13"/>
        <item x="14"/>
        <item x="15"/>
        <item m="1" x="17"/>
        <item t="default"/>
      </items>
    </pivotField>
    <pivotField numFmtId="4" showAll="0"/>
    <pivotField showAll="0">
      <items count="5">
        <item x="0"/>
        <item x="2"/>
        <item m="1" x="3"/>
        <item x="1"/>
        <item t="default"/>
      </items>
    </pivotField>
    <pivotField showAll="0">
      <items count="3">
        <item x="1"/>
        <item x="0"/>
        <item t="default"/>
      </items>
    </pivotField>
    <pivotField multipleItemSelectionAllowed="1" showAll="0">
      <items count="4">
        <item m="1" x="2"/>
        <item x="1"/>
        <item x="0"/>
        <item t="default"/>
      </items>
    </pivotField>
    <pivotField showAll="0">
      <items count="8">
        <item m="1" x="5"/>
        <item x="4"/>
        <item x="1"/>
        <item x="2"/>
        <item m="1" x="6"/>
        <item x="3"/>
        <item x="0"/>
        <item t="default"/>
      </items>
    </pivotField>
    <pivotField showAll="0">
      <items count="3">
        <item m="1" x="1"/>
        <item x="0"/>
        <item t="default"/>
      </items>
    </pivotField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3"/>
        <item x="12"/>
        <item t="default"/>
      </items>
    </pivotField>
    <pivotField showAll="0">
      <items count="4">
        <item x="0"/>
        <item x="1"/>
        <item m="1" x="2"/>
        <item t="default"/>
      </items>
    </pivotField>
    <pivotField showAll="0">
      <items count="13">
        <item x="1"/>
        <item x="2"/>
        <item x="11"/>
        <item x="3"/>
        <item x="4"/>
        <item x="5"/>
        <item x="6"/>
        <item x="7"/>
        <item x="8"/>
        <item x="9"/>
        <item x="0"/>
        <item x="10"/>
        <item t="default"/>
      </items>
    </pivotField>
    <pivotField showAll="0"/>
    <pivotField dataField="1" numFmtId="4" showAll="0"/>
    <pivotField dataField="1" numFmtId="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showAll="0">
      <items count="5">
        <item sd="0" x="0"/>
        <item sd="0" x="1"/>
        <item sd="0" x="2"/>
        <item x="3"/>
        <item t="default"/>
      </items>
    </pivotField>
    <pivotField dataField="1" dragToRow="0" dragToCol="0" dragToPage="0" showAll="0" defaultSubtotal="0"/>
  </pivotFields>
  <rowFields count="1">
    <field x="9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Receita " fld="13" baseField="0" baseItem="0" numFmtId="165"/>
    <dataField name="Despesa " fld="14" baseField="0" baseItem="0" numFmtId="165"/>
    <dataField name="Saldo" fld="18" baseField="0" baseItem="0" numFmtId="165"/>
  </dataFields>
  <chartFormats count="7">
    <chartFormat chart="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6F7F8E-4F53-DA44-AE06-90CBC8BB9B9A}" name="tbd_dash_itens_abertura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8">
  <location ref="V4:W10" firstHeaderRow="1" firstDataRow="1" firstDataCol="1"/>
  <pivotFields count="19">
    <pivotField axis="axisRow" showAll="0">
      <items count="7">
        <item x="1"/>
        <item x="2"/>
        <item m="1" x="5"/>
        <item x="0"/>
        <item x="3"/>
        <item x="4"/>
        <item t="default"/>
      </items>
    </pivotField>
    <pivotField showAll="0"/>
    <pivotField numFmtId="14" showAll="0"/>
    <pivotField dataField="1" numFmtId="4" showAll="0"/>
    <pivotField showAll="0">
      <items count="5">
        <item x="0"/>
        <item x="2"/>
        <item m="1" x="3"/>
        <item x="1"/>
        <item t="default"/>
      </items>
    </pivotField>
    <pivotField showAll="0">
      <items count="3">
        <item x="1"/>
        <item x="0"/>
        <item t="default"/>
      </items>
    </pivotField>
    <pivotField multipleItemSelectionAllowed="1" showAll="0">
      <items count="4">
        <item m="1" x="2"/>
        <item x="1"/>
        <item x="0"/>
        <item t="default"/>
      </items>
    </pivotField>
    <pivotField showAll="0">
      <items count="8">
        <item m="1" x="5"/>
        <item x="4"/>
        <item x="1"/>
        <item x="2"/>
        <item m="1" x="6"/>
        <item x="3"/>
        <item x="0"/>
        <item t="default"/>
      </items>
    </pivotField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3"/>
        <item x="12"/>
        <item t="default"/>
      </items>
    </pivotField>
    <pivotField showAll="0">
      <items count="4">
        <item x="0"/>
        <item x="1"/>
        <item m="1" x="2"/>
        <item t="default"/>
      </items>
    </pivotField>
    <pivotField showAll="0">
      <items count="13">
        <item x="1"/>
        <item x="2"/>
        <item x="11"/>
        <item x="3"/>
        <item x="4"/>
        <item x="5"/>
        <item x="6"/>
        <item x="7"/>
        <item x="8"/>
        <item x="9"/>
        <item x="0"/>
        <item x="10"/>
        <item t="default"/>
      </items>
    </pivotField>
    <pivotField showAll="0"/>
    <pivotField numFmtId="4" showAll="0"/>
    <pivotField numFmtId="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showAll="0">
      <items count="5">
        <item sd="0" x="0"/>
        <item sd="0" x="1"/>
        <item sd="0" x="2"/>
        <item x="3"/>
        <item t="default"/>
      </items>
    </pivotField>
    <pivotField dragToRow="0" dragToCol="0" dragToPage="0" showAll="0" defaultSubtotal="0"/>
  </pivotFields>
  <rowFields count="1">
    <field x="0"/>
  </rowFields>
  <rowItems count="6">
    <i>
      <x/>
    </i>
    <i>
      <x v="1"/>
    </i>
    <i>
      <x v="3"/>
    </i>
    <i>
      <x v="4"/>
    </i>
    <i>
      <x v="5"/>
    </i>
    <i t="grand">
      <x/>
    </i>
  </rowItems>
  <colItems count="1">
    <i/>
  </colItems>
  <dataFields count="1">
    <dataField name="Soma de Valor" fld="3" baseField="0" baseItem="0" numFmtId="165"/>
  </dataFields>
  <chartFormats count="2">
    <chartFormat chart="1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Conta" xr10:uid="{7CD17223-F3FB-744B-9E04-EAAB8F966C21}" sourceName="Conta">
  <pivotTables>
    <pivotTable tabId="7" name="tbd_dash_receita_e_despesa_mensal"/>
    <pivotTable tabId="7" name="tbd_dash_despesa_mensal"/>
    <pivotTable tabId="7" name="tbd_dash_itens_abertura"/>
    <pivotTable tabId="7" name="tbd_dash_receita_mensal"/>
    <pivotTable tabId="7" name="tbd_dash_saldo"/>
  </pivotTables>
  <data>
    <tabular pivotCacheId="195996873" showMissing="0">
      <items count="4">
        <i x="0" s="1"/>
        <i x="2" s="1"/>
        <i x="1" s="1"/>
        <i x="3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Status_Valor" xr10:uid="{2E3254CC-CAB9-894B-A6F1-C1B9A5623B12}" sourceName="Status Valor">
  <pivotTables>
    <pivotTable tabId="7" name="tbd_dash_receita_e_despesa_mensal"/>
    <pivotTable tabId="7" name="tbd_dash_despesa_mensal"/>
    <pivotTable tabId="7" name="tbd_dash_itens_abertura"/>
    <pivotTable tabId="7" name="tbd_dash_receita_mensal"/>
    <pivotTable tabId="7" name="tbd_dash_saldo"/>
  </pivotTables>
  <data>
    <tabular pivotCacheId="195996873" showMissing="0">
      <items count="2">
        <i x="1" s="1"/>
        <i x="0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Fluxo" xr10:uid="{764E982A-4332-7D4F-ABB8-C425CC3005AB}" sourceName="Fluxo">
  <pivotTables>
    <pivotTable tabId="7" name="tbd_dash_receita_e_despesa_mensal"/>
    <pivotTable tabId="7" name="tbd_dash_itens_abertura"/>
    <pivotTable tabId="7" name="tbd_dash_saldo"/>
  </pivotTables>
  <data>
    <tabular pivotCacheId="195996873" showMissing="0">
      <items count="3">
        <i x="1" s="1"/>
        <i x="0" s="1"/>
        <i x="2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Categoria" xr10:uid="{1660557A-4751-694A-B07D-12F38F450E20}" sourceName="Categoria">
  <pivotTables>
    <pivotTable tabId="7" name="tbd_dash_receita_e_despesa_mensal"/>
    <pivotTable tabId="7" name="tbd_dash_despesa_mensal"/>
    <pivotTable tabId="7" name="tbd_dash_itens_abertura"/>
    <pivotTable tabId="7" name="tbd_dash_receita_mensal"/>
    <pivotTable tabId="7" name="tbd_dash_saldo"/>
  </pivotTables>
  <data>
    <tabular pivotCacheId="195996873" showMissing="0">
      <items count="7">
        <i x="4" s="1"/>
        <i x="1" s="1"/>
        <i x="2" s="1"/>
        <i x="3" s="1"/>
        <i x="0" s="1"/>
        <i x="5" s="1" nd="1"/>
        <i x="6" s="1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Ano" xr10:uid="{3DDFC292-B45F-464C-8EAC-7300FB0483FE}" sourceName="Ano">
  <pivotTables>
    <pivotTable tabId="7" name="tbd_dash_receita_e_despesa_mensal"/>
    <pivotTable tabId="7" name="tbd_dash_despesa_mensal"/>
    <pivotTable tabId="7" name="tbd_dash_itens_abertura"/>
    <pivotTable tabId="7" name="tbd_dash_receita_mensal"/>
    <pivotTable tabId="7" name="tbd_dash_saldo"/>
  </pivotTables>
  <data>
    <tabular pivotCacheId="195996873" showMissing="0">
      <items count="3">
        <i x="0" s="1"/>
        <i x="1" s="1"/>
        <i x="2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Mês" xr10:uid="{01F5A770-3A8A-074C-8F2D-D0AB8AABD9CE}" sourceName="Mês">
  <pivotTables>
    <pivotTable tabId="7" name="tbd_dash_receita_e_despesa_mensal"/>
    <pivotTable tabId="7" name="tbd_dash_despesa_mensal"/>
    <pivotTable tabId="7" name="tbd_dash_itens_abertura"/>
    <pivotTable tabId="7" name="tbd_dash_receita_mensal"/>
    <pivotTable tabId="7" name="tbd_dash_saldo"/>
  </pivotTables>
  <data>
    <tabular pivotCacheId="195996873" showMissing="0">
      <items count="12">
        <i x="1" s="1"/>
        <i x="2" s="1"/>
        <i x="11" s="1"/>
        <i x="3" s="1"/>
        <i x="4" s="1"/>
        <i x="5" s="1"/>
        <i x="6" s="1"/>
        <i x="7" s="1"/>
        <i x="8" s="1"/>
        <i x="9" s="1"/>
        <i x="0" s="1"/>
        <i x="1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Conta" xr10:uid="{333341D9-C3A4-2A46-AC19-1185A13E1E1B}" cache="SegmentaçãodeDados_Conta" caption="Conta" style="SlicerStyleDark3" rowHeight="230716"/>
  <slicer name="Status Valor" xr10:uid="{F7361179-1D87-314B-97D3-732E186C1867}" cache="SegmentaçãodeDados_Status_Valor" caption="Status Valor" columnCount="2" style="SlicerStyleDark3" rowHeight="230716"/>
  <slicer name="Fluxo" xr10:uid="{9ABCB721-CBD4-C742-8282-4FBDBD0CDEA4}" cache="SegmentaçãodeDados_Fluxo" caption="Fluxo" columnCount="2" style="SlicerStyleDark3" rowHeight="230716"/>
  <slicer name="Categoria" xr10:uid="{CE6673F9-8CD8-FD48-AE82-B54E2520DC39}" cache="SegmentaçãodeDados_Categoria" caption="Categoria" style="SlicerStyleDark3" rowHeight="230716"/>
  <slicer name="Ano" xr10:uid="{665144AA-B2BF-984A-9569-DC0257C86965}" cache="SegmentaçãodeDados_Ano" caption="Ano" style="SlicerStyleOther1" rowHeight="230716"/>
  <slicer name="Mês" xr10:uid="{4BB49A86-576F-D649-8D71-8C59100F7AA3}" cache="SegmentaçãodeDados_Mês" caption="Mês" style="SlicerStyleDark3" rowHeight="230716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38586D-103B-3245-87C6-83D49E4FA303}" name="tb_lancamentos" displayName="tb_lancamentos" ref="B5:P24" headerRowDxfId="26" dataDxfId="25" totalsRowDxfId="24">
  <autoFilter ref="B5:P24" xr:uid="{AD38586D-103B-3245-87C6-83D49E4FA303}"/>
  <tableColumns count="15">
    <tableColumn id="1" xr3:uid="{85B76361-CA7A-3542-B74A-353B6EDF4269}" name="Item" totalsRowLabel="Total" dataDxfId="23"/>
    <tableColumn id="17" xr3:uid="{88060A61-08F4-314E-803E-B03C35B22417}" name="Descrição" dataDxfId="22"/>
    <tableColumn id="4" xr3:uid="{1EEAF346-EF89-0343-ACF6-376B21BFBE48}" name="Movimentação" dataDxfId="21"/>
    <tableColumn id="5" xr3:uid="{053A06DE-F567-7E49-9CFD-2B997872A4F5}" name="Valor" dataDxfId="20"/>
    <tableColumn id="6" xr3:uid="{4F899DD2-6711-FC44-979C-50B33BEFB457}" name="Conta" dataDxfId="19"/>
    <tableColumn id="7" xr3:uid="{41835463-7686-3F40-9C83-7D1118344EF5}" name="Status Valor" dataDxfId="18"/>
    <tableColumn id="13" xr3:uid="{A25A3CBA-9B15-074C-92AB-611DA6BA9C54}" name="Fluxo" dataDxfId="17">
      <calculatedColumnFormula>IFERROR(VLOOKUP(tb_lancamentos[[#This Row],[Item]],tb_filtro_item[],2,0),"-")</calculatedColumnFormula>
    </tableColumn>
    <tableColumn id="15" xr3:uid="{C4B7096C-EFE7-884C-90D9-CDE40EC91C60}" name="Categoria" dataDxfId="16">
      <calculatedColumnFormula>IFERROR(VLOOKUP(tb_lancamentos[[#This Row],[Item]],tb_filtro_item[],4,0),"-")</calculatedColumnFormula>
    </tableColumn>
    <tableColumn id="16" xr3:uid="{20641F77-578D-E047-A7FB-1E6AA791E6D8}" name="Subcategoria" dataDxfId="15">
      <calculatedColumnFormula>IFERROR(VLOOKUP(tb_lancamentos[[#This Row],[Item]],tb_filtro_item[],5,0),"-")</calculatedColumnFormula>
    </tableColumn>
    <tableColumn id="19" xr3:uid="{2A9B1565-BE8F-0942-8831-335D770AF183}" name="Dt Caixa" dataDxfId="14" totalsRowDxfId="13">
      <calculatedColumnFormula>DATE(YEAR(tb_lancamentos[[#This Row],[Movimentação]]),MONTH(tb_lancamentos[[#This Row],[Movimentação]]),1)</calculatedColumnFormula>
    </tableColumn>
    <tableColumn id="3" xr3:uid="{FD216627-84DF-5D49-9BA8-C6D69BC3F810}" name="Ano" dataDxfId="12" totalsRowDxfId="11">
      <calculatedColumnFormula>IF(tb_lancamentos[[#This Row],[Movimentação]]="","-",YEAR(tb_lancamentos[[#This Row],[Movimentação]]))</calculatedColumnFormula>
    </tableColumn>
    <tableColumn id="2" xr3:uid="{3627A517-3C8A-CA41-A6F8-7CF67BE7E52F}" name="Mês" dataDxfId="10" totalsRowDxfId="9">
      <calculatedColumnFormula>TEXT(tb_lancamentos[[#This Row],[Movimentação]],"MM")&amp;" -  "&amp;PROPER(TEXT(tb_lancamentos[[#This Row],[Movimentação]],"MMMM"))</calculatedColumnFormula>
    </tableColumn>
    <tableColumn id="20" xr3:uid="{8D621129-AEB8-2A4D-A372-CEA861EBFC6D}" name="Filtro Status" dataDxfId="8" totalsRowDxfId="7">
      <calculatedColumnFormula>IF('Fluxo de Caixa'!$C$6="Todos",1,IF('Fluxo de Caixa'!$C$6=tb_lancamentos[[#This Row],[Status Valor]],1,0))</calculatedColumnFormula>
    </tableColumn>
    <tableColumn id="21" xr3:uid="{1E7BFE52-0113-5F46-B5AE-6B8484C75933}" name="Receita" dataDxfId="6" totalsRowDxfId="5">
      <calculatedColumnFormula>IF(tb_lancamentos[[#This Row],[Fluxo]]="Receita",tb_lancamentos[[#This Row],[Valor]],0)</calculatedColumnFormula>
    </tableColumn>
    <tableColumn id="22" xr3:uid="{B00D76CB-F431-EB42-AF43-78D6E4115E30}" name="Despesa" dataDxfId="4" totalsRowDxfId="3">
      <calculatedColumnFormula>IF(tb_lancamentos[[#This Row],[Fluxo]]="Despesa",tb_lancamentos[[#This Row],[Valor]],0)</calculatedColumnFormula>
    </tableColumn>
  </tableColumns>
  <tableStyleInfo name="stl_tb_00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C989BE-A52B-FE43-99E0-8AABC9CA372F}" name="tb_filtro_item" displayName="tb_filtro_item" ref="B6:E30" totalsRowShown="0" headerRowDxfId="2">
  <tableColumns count="4">
    <tableColumn id="1" xr3:uid="{183D2C95-3DA9-1443-9275-4B298145EE9E}" name="Item Nomenclatura" dataDxfId="1">
      <calculatedColumnFormula>"("&amp;LEFT(tb_filtro_item[[#This Row],[Fluxo]],1)&amp;") - "&amp;tb_filtro_item[[#This Row],[Item]]</calculatedColumnFormula>
    </tableColumn>
    <tableColumn id="2" xr3:uid="{2A82E0F9-7AD2-6A45-B66F-E5A21289FD16}" name="Fluxo"/>
    <tableColumn id="3" xr3:uid="{246FC40C-8A17-EC47-A3F5-8FB61EFCF0C4}" name="Item"/>
    <tableColumn id="4" xr3:uid="{F3C36EB2-FC1B-BB40-9918-0F9695A1632D}" name="Categoria"/>
  </tableColumns>
  <tableStyleInfo name="stl_tb_00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2A9F652-342C-8C4C-9072-92A971D8CF1D}" name="Tabela3" displayName="Tabela3" ref="G6:H10" totalsRowShown="0" headerRowDxfId="0">
  <tableColumns count="2">
    <tableColumn id="1" xr3:uid="{96C8FCA3-BBBE-744F-B003-4C23DE333A90}" name="Instituição"/>
    <tableColumn id="3" xr3:uid="{69A64F38-6DD8-6348-BC2C-143E6DA2DD8B}" name="Observação"/>
  </tableColumns>
  <tableStyleInfo name="stl_tb_00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EA685-74B2-A54A-8FC4-BE4A61B01720}">
  <dimension ref="B4:B96"/>
  <sheetViews>
    <sheetView showGridLines="0" showRowColHeaders="0" tabSelected="1" zoomScale="137" zoomScaleNormal="120" workbookViewId="0"/>
  </sheetViews>
  <sheetFormatPr baseColWidth="10" defaultRowHeight="13"/>
  <cols>
    <col min="1" max="1" width="2.83203125" customWidth="1"/>
  </cols>
  <sheetData>
    <row r="4" spans="2:2">
      <c r="B4" s="1" t="s">
        <v>103</v>
      </c>
    </row>
    <row r="5" spans="2:2">
      <c r="B5" s="2" t="s">
        <v>104</v>
      </c>
    </row>
    <row r="7" spans="2:2">
      <c r="B7" s="32" t="s">
        <v>87</v>
      </c>
    </row>
    <row r="8" spans="2:2">
      <c r="B8" s="1" t="s">
        <v>92</v>
      </c>
    </row>
    <row r="18" spans="2:2">
      <c r="B18" s="1" t="s">
        <v>88</v>
      </c>
    </row>
    <row r="19" spans="2:2">
      <c r="B19" t="s">
        <v>89</v>
      </c>
    </row>
    <row r="20" spans="2:2">
      <c r="B20" t="s">
        <v>90</v>
      </c>
    </row>
    <row r="21" spans="2:2">
      <c r="B21" t="s">
        <v>91</v>
      </c>
    </row>
    <row r="22" spans="2:2">
      <c r="B22" t="s">
        <v>93</v>
      </c>
    </row>
    <row r="52" spans="2:2">
      <c r="B52" s="32" t="s">
        <v>94</v>
      </c>
    </row>
    <row r="53" spans="2:2">
      <c r="B53" s="1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  <row r="59" spans="2:2">
      <c r="B59" t="s">
        <v>101</v>
      </c>
    </row>
    <row r="60" spans="2:2">
      <c r="B60" t="s">
        <v>102</v>
      </c>
    </row>
    <row r="80" spans="2:2">
      <c r="B80" s="32" t="s">
        <v>107</v>
      </c>
    </row>
    <row r="81" spans="2:2">
      <c r="B81" s="1" t="s">
        <v>108</v>
      </c>
    </row>
    <row r="82" spans="2:2">
      <c r="B82" t="s">
        <v>109</v>
      </c>
    </row>
    <row r="91" spans="2:2">
      <c r="B91" t="s">
        <v>110</v>
      </c>
    </row>
    <row r="95" spans="2:2">
      <c r="B95" s="32" t="s">
        <v>106</v>
      </c>
    </row>
    <row r="96" spans="2:2">
      <c r="B96" t="s">
        <v>105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750B4-A8FD-684F-A44A-BE4771FDF6BA}">
  <dimension ref="A1:AG117"/>
  <sheetViews>
    <sheetView showGridLines="0" showRowColHeaders="0" zoomScale="120" zoomScaleNormal="120" workbookViewId="0">
      <selection activeCell="Y16" sqref="Y16"/>
    </sheetView>
  </sheetViews>
  <sheetFormatPr baseColWidth="10" defaultColWidth="0" defaultRowHeight="13" zeroHeight="1"/>
  <cols>
    <col min="1" max="1" width="2.83203125" customWidth="1"/>
    <col min="2" max="25" width="5.83203125" customWidth="1"/>
    <col min="26" max="33" width="5.83203125" hidden="1" customWidth="1"/>
    <col min="34" max="16384" width="10.83203125" hidden="1"/>
  </cols>
  <sheetData>
    <row r="1" ht="35" customHeight="1"/>
    <row r="2"/>
    <row r="3" ht="5" customHeight="1"/>
    <row r="4"/>
    <row r="5"/>
    <row r="6"/>
    <row r="7"/>
    <row r="8"/>
    <row r="9"/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</sheetData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0E92-E61D-8245-AE77-779BA74AD82B}">
  <dimension ref="B2:W18"/>
  <sheetViews>
    <sheetView showGridLines="0" zoomScale="150" workbookViewId="0">
      <selection activeCell="D5" sqref="D5"/>
    </sheetView>
  </sheetViews>
  <sheetFormatPr baseColWidth="10" defaultRowHeight="13"/>
  <cols>
    <col min="1" max="1" width="2.83203125" customWidth="1"/>
    <col min="2" max="2" width="10.33203125" bestFit="1" customWidth="1"/>
    <col min="3" max="3" width="15" bestFit="1" customWidth="1"/>
    <col min="4" max="4" width="16" bestFit="1" customWidth="1"/>
    <col min="5" max="5" width="17" bestFit="1" customWidth="1"/>
    <col min="6" max="6" width="2.83203125" customWidth="1"/>
    <col min="7" max="7" width="16.5" bestFit="1" customWidth="1"/>
    <col min="8" max="8" width="16.1640625" bestFit="1" customWidth="1"/>
    <col min="9" max="9" width="12.6640625" bestFit="1" customWidth="1"/>
    <col min="10" max="10" width="11.6640625" bestFit="1" customWidth="1"/>
    <col min="11" max="11" width="12.6640625" bestFit="1" customWidth="1"/>
    <col min="12" max="12" width="2.83203125" customWidth="1"/>
    <col min="13" max="13" width="13.5" bestFit="1" customWidth="1"/>
    <col min="14" max="14" width="16.1640625" bestFit="1" customWidth="1"/>
    <col min="15" max="15" width="15" bestFit="1" customWidth="1"/>
    <col min="16" max="16" width="2.83203125" customWidth="1"/>
    <col min="17" max="17" width="14.5" bestFit="1" customWidth="1"/>
    <col min="18" max="18" width="16.1640625" bestFit="1" customWidth="1"/>
    <col min="19" max="19" width="16" bestFit="1" customWidth="1"/>
    <col min="20" max="20" width="2.83203125" customWidth="1"/>
    <col min="21" max="21" width="12.33203125" bestFit="1" customWidth="1"/>
    <col min="22" max="22" width="24.1640625" bestFit="1" customWidth="1"/>
    <col min="23" max="23" width="13" bestFit="1" customWidth="1"/>
  </cols>
  <sheetData>
    <row r="2" spans="2:23">
      <c r="B2" s="1" t="s">
        <v>46</v>
      </c>
    </row>
    <row r="4" spans="2:23">
      <c r="B4" s="11" t="s">
        <v>32</v>
      </c>
      <c r="C4" t="s">
        <v>49</v>
      </c>
      <c r="D4" t="s">
        <v>50</v>
      </c>
      <c r="E4" t="s">
        <v>51</v>
      </c>
      <c r="G4" s="11" t="s">
        <v>52</v>
      </c>
      <c r="H4" s="12" t="s">
        <v>47</v>
      </c>
      <c r="I4" t="s">
        <v>53</v>
      </c>
      <c r="J4" t="s">
        <v>54</v>
      </c>
      <c r="K4" t="s">
        <v>33</v>
      </c>
      <c r="M4" s="11" t="s">
        <v>56</v>
      </c>
      <c r="N4" s="12" t="s">
        <v>47</v>
      </c>
      <c r="O4" t="s">
        <v>49</v>
      </c>
      <c r="Q4" s="11" t="s">
        <v>57</v>
      </c>
      <c r="R4" s="12" t="s">
        <v>47</v>
      </c>
      <c r="S4" t="s">
        <v>50</v>
      </c>
      <c r="U4" s="11" t="s">
        <v>58</v>
      </c>
      <c r="V4" s="12" t="s">
        <v>47</v>
      </c>
      <c r="W4" t="s">
        <v>59</v>
      </c>
    </row>
    <row r="5" spans="2:23">
      <c r="C5" s="14">
        <v>228245.5</v>
      </c>
      <c r="D5" s="14">
        <v>35937</v>
      </c>
      <c r="E5" s="14">
        <v>192308.5</v>
      </c>
      <c r="H5" s="13">
        <v>45231</v>
      </c>
      <c r="I5" s="14">
        <v>24000</v>
      </c>
      <c r="J5" s="14">
        <v>18500</v>
      </c>
      <c r="K5" s="14">
        <v>5500</v>
      </c>
      <c r="N5" s="13">
        <v>45231</v>
      </c>
      <c r="O5" s="14">
        <v>24000</v>
      </c>
      <c r="R5" s="13">
        <v>45231</v>
      </c>
      <c r="S5" s="14">
        <v>18500</v>
      </c>
      <c r="V5" s="15" t="s">
        <v>34</v>
      </c>
      <c r="W5" s="14">
        <v>23177</v>
      </c>
    </row>
    <row r="6" spans="2:23">
      <c r="H6" s="13">
        <v>45292</v>
      </c>
      <c r="I6" s="14">
        <v>29455.5</v>
      </c>
      <c r="J6" s="14">
        <v>3860</v>
      </c>
      <c r="K6" s="14">
        <v>25595.5</v>
      </c>
      <c r="N6" s="13">
        <v>45292</v>
      </c>
      <c r="O6" s="14">
        <v>29455.5</v>
      </c>
      <c r="R6" s="13">
        <v>45292</v>
      </c>
      <c r="S6" s="14">
        <v>3860</v>
      </c>
      <c r="V6" s="15" t="s">
        <v>23</v>
      </c>
      <c r="W6" s="14">
        <v>12760</v>
      </c>
    </row>
    <row r="7" spans="2:23">
      <c r="H7" s="13">
        <v>45323</v>
      </c>
      <c r="I7" s="14">
        <v>15890</v>
      </c>
      <c r="J7" s="14">
        <v>8900</v>
      </c>
      <c r="K7" s="14">
        <v>6990</v>
      </c>
      <c r="N7" s="13">
        <v>45323</v>
      </c>
      <c r="O7" s="14">
        <v>15890</v>
      </c>
      <c r="R7" s="13">
        <v>45323</v>
      </c>
      <c r="S7" s="14">
        <v>8900</v>
      </c>
      <c r="V7" s="15" t="s">
        <v>84</v>
      </c>
      <c r="W7" s="14">
        <v>88625.5</v>
      </c>
    </row>
    <row r="8" spans="2:23">
      <c r="H8" s="13">
        <v>45383</v>
      </c>
      <c r="I8" s="14">
        <v>15890</v>
      </c>
      <c r="J8" s="14">
        <v>0</v>
      </c>
      <c r="K8" s="14">
        <v>15890</v>
      </c>
      <c r="N8" s="13">
        <v>45383</v>
      </c>
      <c r="O8" s="14">
        <v>15890</v>
      </c>
      <c r="R8" s="13">
        <v>45383</v>
      </c>
      <c r="S8" s="14">
        <v>0</v>
      </c>
      <c r="V8" s="15" t="s">
        <v>85</v>
      </c>
      <c r="W8" s="14">
        <v>107840</v>
      </c>
    </row>
    <row r="9" spans="2:23">
      <c r="H9" s="13">
        <v>45413</v>
      </c>
      <c r="I9" s="14">
        <v>15890</v>
      </c>
      <c r="J9" s="14">
        <v>0</v>
      </c>
      <c r="K9" s="14">
        <v>15890</v>
      </c>
      <c r="N9" s="13">
        <v>45413</v>
      </c>
      <c r="O9" s="14">
        <v>15890</v>
      </c>
      <c r="R9" s="13">
        <v>45413</v>
      </c>
      <c r="S9" s="14">
        <v>0</v>
      </c>
      <c r="V9" s="15" t="s">
        <v>86</v>
      </c>
      <c r="W9" s="14">
        <v>31780</v>
      </c>
    </row>
    <row r="10" spans="2:23">
      <c r="H10" s="13">
        <v>45444</v>
      </c>
      <c r="I10" s="14">
        <v>15890</v>
      </c>
      <c r="J10" s="14">
        <v>4677</v>
      </c>
      <c r="K10" s="14">
        <v>11213</v>
      </c>
      <c r="N10" s="13">
        <v>45444</v>
      </c>
      <c r="O10" s="14">
        <v>15890</v>
      </c>
      <c r="R10" s="13">
        <v>45444</v>
      </c>
      <c r="S10" s="14">
        <v>4677</v>
      </c>
      <c r="V10" s="15" t="s">
        <v>48</v>
      </c>
      <c r="W10" s="14">
        <v>264182.5</v>
      </c>
    </row>
    <row r="11" spans="2:23">
      <c r="H11" s="13">
        <v>45474</v>
      </c>
      <c r="I11" s="14">
        <v>15890</v>
      </c>
      <c r="J11" s="14">
        <v>0</v>
      </c>
      <c r="K11" s="14">
        <v>15890</v>
      </c>
      <c r="N11" s="13">
        <v>45474</v>
      </c>
      <c r="O11" s="14">
        <v>15890</v>
      </c>
      <c r="R11" s="13">
        <v>45474</v>
      </c>
      <c r="S11" s="14">
        <v>0</v>
      </c>
    </row>
    <row r="12" spans="2:23">
      <c r="H12" s="13">
        <v>45505</v>
      </c>
      <c r="I12" s="14">
        <v>15890</v>
      </c>
      <c r="J12" s="14">
        <v>0</v>
      </c>
      <c r="K12" s="14">
        <v>15890</v>
      </c>
      <c r="N12" s="13">
        <v>45505</v>
      </c>
      <c r="O12" s="14">
        <v>15890</v>
      </c>
      <c r="R12" s="13">
        <v>45505</v>
      </c>
      <c r="S12" s="14">
        <v>0</v>
      </c>
    </row>
    <row r="13" spans="2:23">
      <c r="H13" s="13">
        <v>45536</v>
      </c>
      <c r="I13" s="14">
        <v>15890</v>
      </c>
      <c r="J13" s="14">
        <v>0</v>
      </c>
      <c r="K13" s="14">
        <v>15890</v>
      </c>
      <c r="N13" s="13">
        <v>45536</v>
      </c>
      <c r="O13" s="14">
        <v>15890</v>
      </c>
      <c r="R13" s="13">
        <v>45536</v>
      </c>
      <c r="S13" s="14">
        <v>0</v>
      </c>
    </row>
    <row r="14" spans="2:23">
      <c r="H14" s="13">
        <v>45566</v>
      </c>
      <c r="I14" s="14">
        <v>15890</v>
      </c>
      <c r="J14" s="14">
        <v>0</v>
      </c>
      <c r="K14" s="14">
        <v>15890</v>
      </c>
      <c r="N14" s="13">
        <v>45566</v>
      </c>
      <c r="O14" s="14">
        <v>15890</v>
      </c>
      <c r="R14" s="13">
        <v>45566</v>
      </c>
      <c r="S14" s="14">
        <v>0</v>
      </c>
    </row>
    <row r="15" spans="2:23">
      <c r="H15" s="13">
        <v>45597</v>
      </c>
      <c r="I15" s="14">
        <v>15890</v>
      </c>
      <c r="J15" s="14">
        <v>0</v>
      </c>
      <c r="K15" s="14">
        <v>15890</v>
      </c>
      <c r="N15" s="13">
        <v>45597</v>
      </c>
      <c r="O15" s="14">
        <v>15890</v>
      </c>
      <c r="R15" s="13">
        <v>45597</v>
      </c>
      <c r="S15" s="14">
        <v>0</v>
      </c>
    </row>
    <row r="16" spans="2:23">
      <c r="H16" s="13">
        <v>45627</v>
      </c>
      <c r="I16" s="14">
        <v>15890</v>
      </c>
      <c r="J16" s="14">
        <v>0</v>
      </c>
      <c r="K16" s="14">
        <v>15890</v>
      </c>
      <c r="N16" s="13">
        <v>45627</v>
      </c>
      <c r="O16" s="14">
        <v>15890</v>
      </c>
      <c r="R16" s="13">
        <v>45627</v>
      </c>
      <c r="S16" s="14">
        <v>0</v>
      </c>
    </row>
    <row r="17" spans="8:19">
      <c r="H17" s="13">
        <v>45352</v>
      </c>
      <c r="I17" s="14">
        <v>15890</v>
      </c>
      <c r="J17" s="14">
        <v>0</v>
      </c>
      <c r="K17" s="14">
        <v>15890</v>
      </c>
      <c r="N17" s="13">
        <v>45352</v>
      </c>
      <c r="O17" s="14">
        <v>15890</v>
      </c>
      <c r="R17" s="13">
        <v>45352</v>
      </c>
      <c r="S17" s="14">
        <v>0</v>
      </c>
    </row>
    <row r="18" spans="8:19">
      <c r="H18" s="13" t="s">
        <v>48</v>
      </c>
      <c r="I18" s="14">
        <v>228245.5</v>
      </c>
      <c r="J18" s="14">
        <v>35937</v>
      </c>
      <c r="K18" s="14">
        <v>192308.5</v>
      </c>
      <c r="N18" s="13" t="s">
        <v>48</v>
      </c>
      <c r="O18" s="14">
        <v>228245.5</v>
      </c>
      <c r="R18" s="13" t="s">
        <v>48</v>
      </c>
      <c r="S18" s="14">
        <v>35937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51508-1324-B24E-9CA0-C0EAEB34AC4D}">
  <dimension ref="A1:P13"/>
  <sheetViews>
    <sheetView showGridLines="0" showRowColHeaders="0" zoomScale="120" zoomScaleNormal="120" workbookViewId="0"/>
  </sheetViews>
  <sheetFormatPr baseColWidth="10" defaultRowHeight="13"/>
  <cols>
    <col min="1" max="1" width="2.83203125" customWidth="1"/>
    <col min="2" max="2" width="25.83203125" bestFit="1" customWidth="1"/>
    <col min="3" max="3" width="13.5" customWidth="1"/>
    <col min="4" max="4" width="15" customWidth="1"/>
    <col min="5" max="16" width="11.5" customWidth="1"/>
  </cols>
  <sheetData>
    <row r="1" spans="1:16" ht="35" customHeight="1">
      <c r="A1" s="31"/>
    </row>
    <row r="3" spans="1:16" ht="5" customHeight="1"/>
    <row r="4" spans="1:16">
      <c r="B4" s="28" t="s">
        <v>83</v>
      </c>
      <c r="C4" s="1"/>
      <c r="D4" s="1"/>
    </row>
    <row r="5" spans="1:16">
      <c r="B5" s="21" t="s">
        <v>31</v>
      </c>
      <c r="C5" s="19">
        <v>2024</v>
      </c>
      <c r="D5" s="2"/>
    </row>
    <row r="6" spans="1:16">
      <c r="B6" s="21" t="s">
        <v>36</v>
      </c>
      <c r="C6" s="20" t="s">
        <v>39</v>
      </c>
    </row>
    <row r="7" spans="1:16">
      <c r="B7" s="1"/>
    </row>
    <row r="8" spans="1:16" ht="14" thickBot="1">
      <c r="B8" s="22" t="s">
        <v>2</v>
      </c>
      <c r="C8" s="23" t="str">
        <f>"Anterior à "&amp;D8</f>
        <v>Anterior à 2024</v>
      </c>
      <c r="D8" s="22">
        <v>2024</v>
      </c>
      <c r="E8" s="24">
        <f>DATE($C$5,1,1)</f>
        <v>45292</v>
      </c>
      <c r="F8" s="24">
        <f t="shared" ref="F8:M8" si="0">EDATE(E8,1)</f>
        <v>45323</v>
      </c>
      <c r="G8" s="24">
        <f t="shared" si="0"/>
        <v>45352</v>
      </c>
      <c r="H8" s="24">
        <f t="shared" si="0"/>
        <v>45383</v>
      </c>
      <c r="I8" s="24">
        <f t="shared" si="0"/>
        <v>45413</v>
      </c>
      <c r="J8" s="24">
        <f t="shared" si="0"/>
        <v>45444</v>
      </c>
      <c r="K8" s="24">
        <f t="shared" si="0"/>
        <v>45474</v>
      </c>
      <c r="L8" s="24">
        <f t="shared" si="0"/>
        <v>45505</v>
      </c>
      <c r="M8" s="24">
        <f t="shared" si="0"/>
        <v>45536</v>
      </c>
      <c r="N8" s="24">
        <f t="shared" ref="N8:P8" si="1">EDATE(M8,1)</f>
        <v>45566</v>
      </c>
      <c r="O8" s="24">
        <f t="shared" si="1"/>
        <v>45597</v>
      </c>
      <c r="P8" s="24">
        <f t="shared" si="1"/>
        <v>45627</v>
      </c>
    </row>
    <row r="9" spans="1:16" ht="14" thickTop="1">
      <c r="B9" s="17" t="s">
        <v>8</v>
      </c>
      <c r="C9" s="26">
        <f>SUMIFS(tb_lancamentos[Valor],tb_lancamentos[Fluxo],'Fluxo de Caixa'!$B9,tb_lancamentos[Filtro Status],1,tb_lancamentos[Ano],"&lt;"&amp;$C$5)</f>
        <v>24000</v>
      </c>
      <c r="D9" s="26">
        <f>SUM(E9:P9)</f>
        <v>204245.5</v>
      </c>
      <c r="E9" s="26">
        <f>SUMIFS(tb_lancamentos[Valor],tb_lancamentos[Fluxo],'Fluxo de Caixa'!$B9,tb_lancamentos[Filtro Status],1,tb_lancamentos[Dt Caixa],'Fluxo de Caixa'!E$8)</f>
        <v>29455.5</v>
      </c>
      <c r="F9" s="26">
        <f>SUMIFS(tb_lancamentos[Valor],tb_lancamentos[Fluxo],'Fluxo de Caixa'!$B9,tb_lancamentos[Filtro Status],1,tb_lancamentos[Dt Caixa],'Fluxo de Caixa'!F$8)</f>
        <v>15890</v>
      </c>
      <c r="G9" s="26">
        <f>SUMIFS(tb_lancamentos[Valor],tb_lancamentos[Fluxo],'Fluxo de Caixa'!$B9,tb_lancamentos[Filtro Status],1,tb_lancamentos[Dt Caixa],'Fluxo de Caixa'!G$8)</f>
        <v>15890</v>
      </c>
      <c r="H9" s="26">
        <f>SUMIFS(tb_lancamentos[Valor],tb_lancamentos[Fluxo],'Fluxo de Caixa'!$B9,tb_lancamentos[Filtro Status],1,tb_lancamentos[Dt Caixa],'Fluxo de Caixa'!H$8)</f>
        <v>15890</v>
      </c>
      <c r="I9" s="26">
        <f>SUMIFS(tb_lancamentos[Valor],tb_lancamentos[Fluxo],'Fluxo de Caixa'!$B9,tb_lancamentos[Filtro Status],1,tb_lancamentos[Dt Caixa],'Fluxo de Caixa'!I$8)</f>
        <v>15890</v>
      </c>
      <c r="J9" s="26">
        <f>SUMIFS(tb_lancamentos[Valor],tb_lancamentos[Fluxo],'Fluxo de Caixa'!$B9,tb_lancamentos[Filtro Status],1,tb_lancamentos[Dt Caixa],'Fluxo de Caixa'!J$8)</f>
        <v>15890</v>
      </c>
      <c r="K9" s="26">
        <f>SUMIFS(tb_lancamentos[Valor],tb_lancamentos[Fluxo],'Fluxo de Caixa'!$B9,tb_lancamentos[Filtro Status],1,tb_lancamentos[Dt Caixa],'Fluxo de Caixa'!K$8)</f>
        <v>15890</v>
      </c>
      <c r="L9" s="26">
        <f>SUMIFS(tb_lancamentos[Valor],tb_lancamentos[Fluxo],'Fluxo de Caixa'!$B9,tb_lancamentos[Filtro Status],1,tb_lancamentos[Dt Caixa],'Fluxo de Caixa'!L$8)</f>
        <v>15890</v>
      </c>
      <c r="M9" s="26">
        <f>SUMIFS(tb_lancamentos[Valor],tb_lancamentos[Fluxo],'Fluxo de Caixa'!$B9,tb_lancamentos[Filtro Status],1,tb_lancamentos[Dt Caixa],'Fluxo de Caixa'!M$8)</f>
        <v>15890</v>
      </c>
      <c r="N9" s="26">
        <f>SUMIFS(tb_lancamentos[Valor],tb_lancamentos[Fluxo],'Fluxo de Caixa'!$B9,tb_lancamentos[Filtro Status],1,tb_lancamentos[Dt Caixa],'Fluxo de Caixa'!N$8)</f>
        <v>15890</v>
      </c>
      <c r="O9" s="26">
        <f>SUMIFS(tb_lancamentos[Valor],tb_lancamentos[Fluxo],'Fluxo de Caixa'!$B9,tb_lancamentos[Filtro Status],1,tb_lancamentos[Dt Caixa],'Fluxo de Caixa'!O$8)</f>
        <v>15890</v>
      </c>
      <c r="P9" s="26">
        <f>SUMIFS(tb_lancamentos[Valor],tb_lancamentos[Fluxo],'Fluxo de Caixa'!$B9,tb_lancamentos[Filtro Status],1,tb_lancamentos[Dt Caixa],'Fluxo de Caixa'!P$8)</f>
        <v>15890</v>
      </c>
    </row>
    <row r="10" spans="1:16">
      <c r="B10" s="18" t="s">
        <v>9</v>
      </c>
      <c r="C10" s="27">
        <f>SUMIFS(tb_lancamentos[Valor],tb_lancamentos[Fluxo],'Fluxo de Caixa'!$B10,tb_lancamentos[Filtro Status],1,tb_lancamentos[Ano],"&lt;"&amp;$C$5)</f>
        <v>18500</v>
      </c>
      <c r="D10" s="27">
        <f>SUM(E10:P10)</f>
        <v>17437</v>
      </c>
      <c r="E10" s="27">
        <f>SUMIFS(tb_lancamentos[Valor],tb_lancamentos[Fluxo],'Fluxo de Caixa'!$B10,tb_lancamentos[Filtro Status],1,tb_lancamentos[Dt Caixa],'Fluxo de Caixa'!E$8)</f>
        <v>3860</v>
      </c>
      <c r="F10" s="27">
        <f>SUMIFS(tb_lancamentos[Valor],tb_lancamentos[Fluxo],'Fluxo de Caixa'!$B10,tb_lancamentos[Filtro Status],1,tb_lancamentos[Dt Caixa],'Fluxo de Caixa'!F$8)</f>
        <v>8900</v>
      </c>
      <c r="G10" s="27">
        <f>SUMIFS(tb_lancamentos[Valor],tb_lancamentos[Fluxo],'Fluxo de Caixa'!$B10,tb_lancamentos[Filtro Status],1,tb_lancamentos[Dt Caixa],'Fluxo de Caixa'!G$8)</f>
        <v>0</v>
      </c>
      <c r="H10" s="27">
        <f>SUMIFS(tb_lancamentos[Valor],tb_lancamentos[Fluxo],'Fluxo de Caixa'!$B10,tb_lancamentos[Filtro Status],1,tb_lancamentos[Dt Caixa],'Fluxo de Caixa'!H$8)</f>
        <v>0</v>
      </c>
      <c r="I10" s="27">
        <f>SUMIFS(tb_lancamentos[Valor],tb_lancamentos[Fluxo],'Fluxo de Caixa'!$B10,tb_lancamentos[Filtro Status],1,tb_lancamentos[Dt Caixa],'Fluxo de Caixa'!I$8)</f>
        <v>0</v>
      </c>
      <c r="J10" s="27">
        <f>SUMIFS(tb_lancamentos[Valor],tb_lancamentos[Fluxo],'Fluxo de Caixa'!$B10,tb_lancamentos[Filtro Status],1,tb_lancamentos[Dt Caixa],'Fluxo de Caixa'!J$8)</f>
        <v>4677</v>
      </c>
      <c r="K10" s="27">
        <f>SUMIFS(tb_lancamentos[Valor],tb_lancamentos[Fluxo],'Fluxo de Caixa'!$B10,tb_lancamentos[Filtro Status],1,tb_lancamentos[Dt Caixa],'Fluxo de Caixa'!K$8)</f>
        <v>0</v>
      </c>
      <c r="L10" s="27">
        <f>SUMIFS(tb_lancamentos[Valor],tb_lancamentos[Fluxo],'Fluxo de Caixa'!$B10,tb_lancamentos[Filtro Status],1,tb_lancamentos[Dt Caixa],'Fluxo de Caixa'!L$8)</f>
        <v>0</v>
      </c>
      <c r="M10" s="27">
        <f>SUMIFS(tb_lancamentos[Valor],tb_lancamentos[Fluxo],'Fluxo de Caixa'!$B10,tb_lancamentos[Filtro Status],1,tb_lancamentos[Dt Caixa],'Fluxo de Caixa'!M$8)</f>
        <v>0</v>
      </c>
      <c r="N10" s="27">
        <f>SUMIFS(tb_lancamentos[Valor],tb_lancamentos[Fluxo],'Fluxo de Caixa'!$B10,tb_lancamentos[Filtro Status],1,tb_lancamentos[Dt Caixa],'Fluxo de Caixa'!N$8)</f>
        <v>0</v>
      </c>
      <c r="O10" s="27">
        <f>SUMIFS(tb_lancamentos[Valor],tb_lancamentos[Fluxo],'Fluxo de Caixa'!$B10,tb_lancamentos[Filtro Status],1,tb_lancamentos[Dt Caixa],'Fluxo de Caixa'!O$8)</f>
        <v>0</v>
      </c>
      <c r="P10" s="27">
        <f>SUMIFS(tb_lancamentos[Valor],tb_lancamentos[Fluxo],'Fluxo de Caixa'!$B10,tb_lancamentos[Filtro Status],1,tb_lancamentos[Dt Caixa],'Fluxo de Caixa'!P$8)</f>
        <v>0</v>
      </c>
    </row>
    <row r="11" spans="1:16">
      <c r="B11" s="7" t="s">
        <v>44</v>
      </c>
      <c r="C11" s="8">
        <f t="shared" ref="C11:P11" si="2">C9-C10</f>
        <v>5500</v>
      </c>
      <c r="D11" s="8">
        <f t="shared" si="2"/>
        <v>186808.5</v>
      </c>
      <c r="E11" s="8">
        <f t="shared" si="2"/>
        <v>25595.5</v>
      </c>
      <c r="F11" s="8">
        <f t="shared" si="2"/>
        <v>6990</v>
      </c>
      <c r="G11" s="8">
        <f t="shared" si="2"/>
        <v>15890</v>
      </c>
      <c r="H11" s="8">
        <f t="shared" si="2"/>
        <v>15890</v>
      </c>
      <c r="I11" s="8">
        <f t="shared" si="2"/>
        <v>15890</v>
      </c>
      <c r="J11" s="8">
        <f t="shared" si="2"/>
        <v>11213</v>
      </c>
      <c r="K11" s="8">
        <f t="shared" si="2"/>
        <v>15890</v>
      </c>
      <c r="L11" s="8">
        <f t="shared" si="2"/>
        <v>15890</v>
      </c>
      <c r="M11" s="8">
        <f t="shared" si="2"/>
        <v>15890</v>
      </c>
      <c r="N11" s="8">
        <f t="shared" si="2"/>
        <v>15890</v>
      </c>
      <c r="O11" s="8">
        <f t="shared" si="2"/>
        <v>15890</v>
      </c>
      <c r="P11" s="8">
        <f t="shared" si="2"/>
        <v>15890</v>
      </c>
    </row>
    <row r="12" spans="1:16" ht="5" customHeight="1"/>
    <row r="13" spans="1:16">
      <c r="B13" s="25" t="s">
        <v>43</v>
      </c>
      <c r="C13" s="9" t="s">
        <v>45</v>
      </c>
      <c r="D13" s="10">
        <f>P13</f>
        <v>192308.5</v>
      </c>
      <c r="E13" s="10">
        <f>E11+C11</f>
        <v>31095.5</v>
      </c>
      <c r="F13" s="10">
        <f>F11+E13</f>
        <v>38085.5</v>
      </c>
      <c r="G13" s="10">
        <f t="shared" ref="G13:P13" si="3">G11+F13</f>
        <v>53975.5</v>
      </c>
      <c r="H13" s="10">
        <f t="shared" si="3"/>
        <v>69865.5</v>
      </c>
      <c r="I13" s="10">
        <f t="shared" si="3"/>
        <v>85755.5</v>
      </c>
      <c r="J13" s="10">
        <f t="shared" si="3"/>
        <v>96968.5</v>
      </c>
      <c r="K13" s="10">
        <f t="shared" si="3"/>
        <v>112858.5</v>
      </c>
      <c r="L13" s="10">
        <f t="shared" si="3"/>
        <v>128748.5</v>
      </c>
      <c r="M13" s="10">
        <f t="shared" si="3"/>
        <v>144638.5</v>
      </c>
      <c r="N13" s="10">
        <f t="shared" si="3"/>
        <v>160528.5</v>
      </c>
      <c r="O13" s="10">
        <f t="shared" si="3"/>
        <v>176418.5</v>
      </c>
      <c r="P13" s="10">
        <f t="shared" si="3"/>
        <v>192308.5</v>
      </c>
    </row>
  </sheetData>
  <dataValidations count="1">
    <dataValidation type="list" allowBlank="1" showInputMessage="1" showErrorMessage="1" sqref="C6" xr:uid="{25494C1C-355E-374A-98A2-DC885658E2E8}">
      <formula1>"Realizado,Provisão,Todos"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A8534-D879-204F-81B0-128F26DF9E1A}">
  <dimension ref="B1:P24"/>
  <sheetViews>
    <sheetView showGridLines="0" showRowColHeaders="0" zoomScale="120" zoomScaleNormal="120" workbookViewId="0">
      <selection activeCell="C34" sqref="C34"/>
    </sheetView>
  </sheetViews>
  <sheetFormatPr baseColWidth="10" defaultRowHeight="13"/>
  <cols>
    <col min="1" max="1" width="2.83203125" customWidth="1"/>
    <col min="2" max="3" width="24.83203125" customWidth="1"/>
    <col min="4" max="4" width="17.5" bestFit="1" customWidth="1"/>
    <col min="5" max="5" width="17.5" customWidth="1"/>
    <col min="6" max="6" width="16.5" customWidth="1"/>
    <col min="7" max="7" width="14.5" bestFit="1" customWidth="1"/>
    <col min="8" max="8" width="11.1640625" bestFit="1" customWidth="1"/>
    <col min="9" max="9" width="14.83203125" bestFit="1" customWidth="1"/>
    <col min="10" max="10" width="16" bestFit="1" customWidth="1"/>
    <col min="11" max="11" width="12.33203125" bestFit="1" customWidth="1"/>
    <col min="12" max="12" width="11.1640625" bestFit="1" customWidth="1"/>
    <col min="13" max="14" width="13.83203125" bestFit="1" customWidth="1"/>
    <col min="15" max="15" width="11.1640625" bestFit="1" customWidth="1"/>
    <col min="16" max="16" width="12" bestFit="1" customWidth="1"/>
  </cols>
  <sheetData>
    <row r="1" spans="2:16" ht="35" customHeight="1"/>
    <row r="3" spans="2:16" ht="5" customHeight="1"/>
    <row r="4" spans="2:16">
      <c r="H4" s="16" t="s">
        <v>81</v>
      </c>
      <c r="I4" s="16" t="s">
        <v>81</v>
      </c>
      <c r="J4" s="16" t="s">
        <v>81</v>
      </c>
      <c r="K4" s="16" t="s">
        <v>81</v>
      </c>
      <c r="L4" s="16" t="s">
        <v>81</v>
      </c>
      <c r="M4" s="16" t="s">
        <v>81</v>
      </c>
      <c r="N4" s="16" t="s">
        <v>81</v>
      </c>
      <c r="O4" s="16" t="s">
        <v>81</v>
      </c>
      <c r="P4" s="16" t="s">
        <v>81</v>
      </c>
    </row>
    <row r="5" spans="2:16">
      <c r="B5" s="3" t="s">
        <v>0</v>
      </c>
      <c r="C5" s="3" t="s">
        <v>28</v>
      </c>
      <c r="D5" s="3" t="s">
        <v>24</v>
      </c>
      <c r="E5" s="3" t="s">
        <v>1</v>
      </c>
      <c r="F5" s="3" t="s">
        <v>3</v>
      </c>
      <c r="G5" s="3" t="s">
        <v>4</v>
      </c>
      <c r="H5" s="29" t="s">
        <v>2</v>
      </c>
      <c r="I5" s="29" t="s">
        <v>6</v>
      </c>
      <c r="J5" s="29" t="s">
        <v>7</v>
      </c>
      <c r="K5" s="29" t="s">
        <v>35</v>
      </c>
      <c r="L5" s="29" t="s">
        <v>31</v>
      </c>
      <c r="M5" s="29" t="s">
        <v>55</v>
      </c>
      <c r="N5" s="29" t="s">
        <v>38</v>
      </c>
      <c r="O5" s="29" t="s">
        <v>8</v>
      </c>
      <c r="P5" s="29" t="s">
        <v>9</v>
      </c>
    </row>
    <row r="6" spans="2:16">
      <c r="B6" s="3" t="s">
        <v>84</v>
      </c>
      <c r="C6" s="3" t="s">
        <v>45</v>
      </c>
      <c r="D6" s="5">
        <v>45231</v>
      </c>
      <c r="E6" s="4">
        <v>24000</v>
      </c>
      <c r="F6" s="3" t="s">
        <v>77</v>
      </c>
      <c r="G6" s="3" t="s">
        <v>26</v>
      </c>
      <c r="H6" s="3" t="str">
        <f>IFERROR(VLOOKUP(tb_lancamentos[[#This Row],[Item]],tb_filtro_item[],2,0),"-")</f>
        <v>Receita</v>
      </c>
      <c r="I6" s="3" t="str">
        <f>IFERROR(VLOOKUP(tb_lancamentos[[#This Row],[Item]],tb_filtro_item[],4,0),"-")</f>
        <v>Vendas</v>
      </c>
      <c r="J6" s="3" t="str">
        <f>IFERROR(VLOOKUP(tb_lancamentos[[#This Row],[Item]],tb_filtro_item[],5,0),"-")</f>
        <v>-</v>
      </c>
      <c r="K6" s="6">
        <f>DATE(YEAR(tb_lancamentos[[#This Row],[Movimentação]]),MONTH(tb_lancamentos[[#This Row],[Movimentação]]),1)</f>
        <v>45231</v>
      </c>
      <c r="L6" s="3">
        <f>IF(tb_lancamentos[[#This Row],[Movimentação]]="","-",YEAR(tb_lancamentos[[#This Row],[Movimentação]]))</f>
        <v>2023</v>
      </c>
      <c r="M6" s="6" t="str">
        <f>TEXT(tb_lancamentos[[#This Row],[Movimentação]],"MM")&amp;" -  "&amp;PROPER(TEXT(tb_lancamentos[[#This Row],[Movimentação]],"MMMM"))</f>
        <v>11 -  Novembro</v>
      </c>
      <c r="N6" s="3">
        <f>IF('Fluxo de Caixa'!$C$6="Todos",1,IF('Fluxo de Caixa'!$C$6=tb_lancamentos[[#This Row],[Status Valor]],1,0))</f>
        <v>1</v>
      </c>
      <c r="O6" s="4">
        <f>IF(tb_lancamentos[[#This Row],[Fluxo]]="Receita",tb_lancamentos[[#This Row],[Valor]],0)</f>
        <v>24000</v>
      </c>
      <c r="P6" s="4">
        <f>IF(tb_lancamentos[[#This Row],[Fluxo]]="Despesa",tb_lancamentos[[#This Row],[Valor]],0)</f>
        <v>0</v>
      </c>
    </row>
    <row r="7" spans="2:16">
      <c r="B7" s="3" t="s">
        <v>34</v>
      </c>
      <c r="C7" s="3" t="s">
        <v>45</v>
      </c>
      <c r="D7" s="5">
        <v>45231</v>
      </c>
      <c r="E7" s="4">
        <v>18500</v>
      </c>
      <c r="F7" s="3" t="s">
        <v>77</v>
      </c>
      <c r="G7" s="3" t="s">
        <v>26</v>
      </c>
      <c r="H7" s="3" t="str">
        <f>IFERROR(VLOOKUP(tb_lancamentos[[#This Row],[Item]],tb_filtro_item[],2,0),"-")</f>
        <v>Despesa</v>
      </c>
      <c r="I7" s="3" t="str">
        <f>IFERROR(VLOOKUP(tb_lancamentos[[#This Row],[Item]],tb_filtro_item[],4,0),"-")</f>
        <v>Custo Operação</v>
      </c>
      <c r="J7" s="3" t="str">
        <f>IFERROR(VLOOKUP(tb_lancamentos[[#This Row],[Item]],tb_filtro_item[],5,0),"-")</f>
        <v>-</v>
      </c>
      <c r="K7" s="6">
        <f>DATE(YEAR(tb_lancamentos[[#This Row],[Movimentação]]),MONTH(tb_lancamentos[[#This Row],[Movimentação]]),1)</f>
        <v>45231</v>
      </c>
      <c r="L7" s="3">
        <f>IF(tb_lancamentos[[#This Row],[Movimentação]]="","-",YEAR(tb_lancamentos[[#This Row],[Movimentação]]))</f>
        <v>2023</v>
      </c>
      <c r="M7" s="6" t="str">
        <f>TEXT(tb_lancamentos[[#This Row],[Movimentação]],"MM")&amp;" -  "&amp;PROPER(TEXT(tb_lancamentos[[#This Row],[Movimentação]],"MMMM"))</f>
        <v>11 -  Novembro</v>
      </c>
      <c r="N7" s="3">
        <f>IF('Fluxo de Caixa'!$C$6="Todos",1,IF('Fluxo de Caixa'!$C$6=tb_lancamentos[[#This Row],[Status Valor]],1,0))</f>
        <v>1</v>
      </c>
      <c r="O7" s="4">
        <f>IF(tb_lancamentos[[#This Row],[Fluxo]]="Receita",tb_lancamentos[[#This Row],[Valor]],0)</f>
        <v>0</v>
      </c>
      <c r="P7" s="4">
        <f>IF(tb_lancamentos[[#This Row],[Fluxo]]="Despesa",tb_lancamentos[[#This Row],[Valor]],0)</f>
        <v>18500</v>
      </c>
    </row>
    <row r="8" spans="2:16">
      <c r="B8" s="3" t="s">
        <v>84</v>
      </c>
      <c r="C8" s="3" t="s">
        <v>29</v>
      </c>
      <c r="D8" s="5">
        <v>45293</v>
      </c>
      <c r="E8" s="4">
        <v>12450</v>
      </c>
      <c r="F8" s="3" t="s">
        <v>77</v>
      </c>
      <c r="G8" s="3" t="s">
        <v>26</v>
      </c>
      <c r="H8" s="3" t="str">
        <f>IFERROR(VLOOKUP(tb_lancamentos[[#This Row],[Item]],tb_filtro_item[],2,0),"-")</f>
        <v>Receita</v>
      </c>
      <c r="I8" s="3" t="str">
        <f>IFERROR(VLOOKUP(tb_lancamentos[[#This Row],[Item]],tb_filtro_item[],4,0),"-")</f>
        <v>Vendas</v>
      </c>
      <c r="J8" s="3" t="str">
        <f>IFERROR(VLOOKUP(tb_lancamentos[[#This Row],[Item]],tb_filtro_item[],5,0),"-")</f>
        <v>-</v>
      </c>
      <c r="K8" s="6">
        <f>DATE(YEAR(tb_lancamentos[[#This Row],[Movimentação]]),MONTH(tb_lancamentos[[#This Row],[Movimentação]]),1)</f>
        <v>45292</v>
      </c>
      <c r="L8" s="3">
        <f>IF(tb_lancamentos[[#This Row],[Movimentação]]="","-",YEAR(tb_lancamentos[[#This Row],[Movimentação]]))</f>
        <v>2024</v>
      </c>
      <c r="M8" s="6" t="str">
        <f>TEXT(tb_lancamentos[[#This Row],[Movimentação]],"MM")&amp;" -  "&amp;PROPER(TEXT(tb_lancamentos[[#This Row],[Movimentação]],"MMMM"))</f>
        <v>01 -  Janeiro</v>
      </c>
      <c r="N8" s="3">
        <f>IF('Fluxo de Caixa'!$C$6="Todos",1,IF('Fluxo de Caixa'!$C$6=tb_lancamentos[[#This Row],[Status Valor]],1,0))</f>
        <v>1</v>
      </c>
      <c r="O8" s="4">
        <f>IF(tb_lancamentos[[#This Row],[Fluxo]]="Receita",tb_lancamentos[[#This Row],[Valor]],0)</f>
        <v>12450</v>
      </c>
      <c r="P8" s="4">
        <f>IF(tb_lancamentos[[#This Row],[Fluxo]]="Despesa",tb_lancamentos[[#This Row],[Valor]],0)</f>
        <v>0</v>
      </c>
    </row>
    <row r="9" spans="2:16">
      <c r="B9" s="3" t="s">
        <v>84</v>
      </c>
      <c r="C9" s="3" t="s">
        <v>30</v>
      </c>
      <c r="D9" s="5">
        <v>45295</v>
      </c>
      <c r="E9" s="4">
        <v>4505.5</v>
      </c>
      <c r="F9" s="3" t="s">
        <v>77</v>
      </c>
      <c r="G9" s="3" t="s">
        <v>26</v>
      </c>
      <c r="H9" s="3" t="str">
        <f>IFERROR(VLOOKUP(tb_lancamentos[[#This Row],[Item]],tb_filtro_item[],2,0),"-")</f>
        <v>Receita</v>
      </c>
      <c r="I9" s="3" t="str">
        <f>IFERROR(VLOOKUP(tb_lancamentos[[#This Row],[Item]],tb_filtro_item[],4,0),"-")</f>
        <v>Vendas</v>
      </c>
      <c r="J9" s="3" t="str">
        <f>IFERROR(VLOOKUP(tb_lancamentos[[#This Row],[Item]],tb_filtro_item[],5,0),"-")</f>
        <v>-</v>
      </c>
      <c r="K9" s="6">
        <f>DATE(YEAR(tb_lancamentos[[#This Row],[Movimentação]]),MONTH(tb_lancamentos[[#This Row],[Movimentação]]),1)</f>
        <v>45292</v>
      </c>
      <c r="L9" s="3">
        <f>IF(tb_lancamentos[[#This Row],[Movimentação]]="","-",YEAR(tb_lancamentos[[#This Row],[Movimentação]]))</f>
        <v>2024</v>
      </c>
      <c r="M9" s="6" t="str">
        <f>TEXT(tb_lancamentos[[#This Row],[Movimentação]],"MM")&amp;" -  "&amp;PROPER(TEXT(tb_lancamentos[[#This Row],[Movimentação]],"MMMM"))</f>
        <v>01 -  Janeiro</v>
      </c>
      <c r="N9" s="3">
        <f>IF('Fluxo de Caixa'!$C$6="Todos",1,IF('Fluxo de Caixa'!$C$6=tb_lancamentos[[#This Row],[Status Valor]],1,0))</f>
        <v>1</v>
      </c>
      <c r="O9" s="4">
        <f>IF(tb_lancamentos[[#This Row],[Fluxo]]="Receita",tb_lancamentos[[#This Row],[Valor]],0)</f>
        <v>4505.5</v>
      </c>
      <c r="P9" s="4">
        <f>IF(tb_lancamentos[[#This Row],[Fluxo]]="Despesa",tb_lancamentos[[#This Row],[Valor]],0)</f>
        <v>0</v>
      </c>
    </row>
    <row r="10" spans="2:16">
      <c r="B10" s="3" t="s">
        <v>23</v>
      </c>
      <c r="C10" s="3" t="s">
        <v>45</v>
      </c>
      <c r="D10" s="5">
        <v>45304</v>
      </c>
      <c r="E10" s="4">
        <v>3860</v>
      </c>
      <c r="F10" s="3" t="s">
        <v>77</v>
      </c>
      <c r="G10" s="3" t="s">
        <v>26</v>
      </c>
      <c r="H10" s="3" t="str">
        <f>IFERROR(VLOOKUP(tb_lancamentos[[#This Row],[Item]],tb_filtro_item[],2,0),"-")</f>
        <v>Despesa</v>
      </c>
      <c r="I10" s="3" t="str">
        <f>IFERROR(VLOOKUP(tb_lancamentos[[#This Row],[Item]],tb_filtro_item[],4,0),"-")</f>
        <v>Fornecedores</v>
      </c>
      <c r="J10" s="3" t="str">
        <f>IFERROR(VLOOKUP(tb_lancamentos[[#This Row],[Item]],tb_filtro_item[],5,0),"-")</f>
        <v>-</v>
      </c>
      <c r="K10" s="6">
        <f>DATE(YEAR(tb_lancamentos[[#This Row],[Movimentação]]),MONTH(tb_lancamentos[[#This Row],[Movimentação]]),1)</f>
        <v>45292</v>
      </c>
      <c r="L10" s="3">
        <f>IF(tb_lancamentos[[#This Row],[Movimentação]]="","-",YEAR(tb_lancamentos[[#This Row],[Movimentação]]))</f>
        <v>2024</v>
      </c>
      <c r="M10" s="6" t="str">
        <f>TEXT(tb_lancamentos[[#This Row],[Movimentação]],"MM")&amp;" -  "&amp;PROPER(TEXT(tb_lancamentos[[#This Row],[Movimentação]],"MMMM"))</f>
        <v>01 -  Janeiro</v>
      </c>
      <c r="N10" s="3">
        <f>IF('Fluxo de Caixa'!$C$6="Todos",1,IF('Fluxo de Caixa'!$C$6=tb_lancamentos[[#This Row],[Status Valor]],1,0))</f>
        <v>1</v>
      </c>
      <c r="O10" s="4">
        <f>IF(tb_lancamentos[[#This Row],[Fluxo]]="Receita",tb_lancamentos[[#This Row],[Valor]],0)</f>
        <v>0</v>
      </c>
      <c r="P10" s="4">
        <f>IF(tb_lancamentos[[#This Row],[Fluxo]]="Despesa",tb_lancamentos[[#This Row],[Valor]],0)</f>
        <v>3860</v>
      </c>
    </row>
    <row r="11" spans="2:16">
      <c r="B11" s="3" t="s">
        <v>84</v>
      </c>
      <c r="C11" s="3" t="s">
        <v>45</v>
      </c>
      <c r="D11" s="5">
        <v>45324</v>
      </c>
      <c r="E11" s="4">
        <v>15890</v>
      </c>
      <c r="F11" s="3" t="s">
        <v>77</v>
      </c>
      <c r="G11" s="3" t="s">
        <v>26</v>
      </c>
      <c r="H11" s="3" t="str">
        <f>IFERROR(VLOOKUP(tb_lancamentos[[#This Row],[Item]],tb_filtro_item[],2,0),"-")</f>
        <v>Receita</v>
      </c>
      <c r="I11" s="3" t="str">
        <f>IFERROR(VLOOKUP(tb_lancamentos[[#This Row],[Item]],tb_filtro_item[],4,0),"-")</f>
        <v>Vendas</v>
      </c>
      <c r="J11" s="3" t="str">
        <f>IFERROR(VLOOKUP(tb_lancamentos[[#This Row],[Item]],tb_filtro_item[],5,0),"-")</f>
        <v>-</v>
      </c>
      <c r="K11" s="6">
        <f>DATE(YEAR(tb_lancamentos[[#This Row],[Movimentação]]),MONTH(tb_lancamentos[[#This Row],[Movimentação]]),1)</f>
        <v>45323</v>
      </c>
      <c r="L11" s="3">
        <f>IF(tb_lancamentos[[#This Row],[Movimentação]]="","-",YEAR(tb_lancamentos[[#This Row],[Movimentação]]))</f>
        <v>2024</v>
      </c>
      <c r="M11" s="6" t="str">
        <f>TEXT(tb_lancamentos[[#This Row],[Movimentação]],"MM")&amp;" -  "&amp;PROPER(TEXT(tb_lancamentos[[#This Row],[Movimentação]],"MMMM"))</f>
        <v>02 -  Fevereiro</v>
      </c>
      <c r="N11" s="3">
        <f>IF('Fluxo de Caixa'!$C$6="Todos",1,IF('Fluxo de Caixa'!$C$6=tb_lancamentos[[#This Row],[Status Valor]],1,0))</f>
        <v>1</v>
      </c>
      <c r="O11" s="4">
        <f>IF(tb_lancamentos[[#This Row],[Fluxo]]="Receita",tb_lancamentos[[#This Row],[Valor]],0)</f>
        <v>15890</v>
      </c>
      <c r="P11" s="4">
        <f>IF(tb_lancamentos[[#This Row],[Fluxo]]="Despesa",tb_lancamentos[[#This Row],[Valor]],0)</f>
        <v>0</v>
      </c>
    </row>
    <row r="12" spans="2:16">
      <c r="B12" s="3" t="s">
        <v>23</v>
      </c>
      <c r="C12" s="3" t="s">
        <v>45</v>
      </c>
      <c r="D12" s="5">
        <v>45330</v>
      </c>
      <c r="E12" s="4">
        <v>8900</v>
      </c>
      <c r="F12" s="3" t="s">
        <v>77</v>
      </c>
      <c r="G12" s="3" t="s">
        <v>26</v>
      </c>
      <c r="H12" s="3" t="str">
        <f>IFERROR(VLOOKUP(tb_lancamentos[[#This Row],[Item]],tb_filtro_item[],2,0),"-")</f>
        <v>Despesa</v>
      </c>
      <c r="I12" s="3" t="str">
        <f>IFERROR(VLOOKUP(tb_lancamentos[[#This Row],[Item]],tb_filtro_item[],4,0),"-")</f>
        <v>Fornecedores</v>
      </c>
      <c r="J12" s="3" t="str">
        <f>IFERROR(VLOOKUP(tb_lancamentos[[#This Row],[Item]],tb_filtro_item[],5,0),"-")</f>
        <v>-</v>
      </c>
      <c r="K12" s="6">
        <f>DATE(YEAR(tb_lancamentos[[#This Row],[Movimentação]]),MONTH(tb_lancamentos[[#This Row],[Movimentação]]),1)</f>
        <v>45323</v>
      </c>
      <c r="L12" s="3">
        <f>IF(tb_lancamentos[[#This Row],[Movimentação]]="","-",YEAR(tb_lancamentos[[#This Row],[Movimentação]]))</f>
        <v>2024</v>
      </c>
      <c r="M12" s="6" t="str">
        <f>TEXT(tb_lancamentos[[#This Row],[Movimentação]],"MM")&amp;" -  "&amp;PROPER(TEXT(tb_lancamentos[[#This Row],[Movimentação]],"MMMM"))</f>
        <v>02 -  Fevereiro</v>
      </c>
      <c r="N12" s="3">
        <f>IF('Fluxo de Caixa'!$C$6="Todos",1,IF('Fluxo de Caixa'!$C$6=tb_lancamentos[[#This Row],[Status Valor]],1,0))</f>
        <v>1</v>
      </c>
      <c r="O12" s="4">
        <f>IF(tb_lancamentos[[#This Row],[Fluxo]]="Receita",tb_lancamentos[[#This Row],[Valor]],0)</f>
        <v>0</v>
      </c>
      <c r="P12" s="4">
        <f>IF(tb_lancamentos[[#This Row],[Fluxo]]="Despesa",tb_lancamentos[[#This Row],[Valor]],0)</f>
        <v>8900</v>
      </c>
    </row>
    <row r="13" spans="2:16">
      <c r="B13" s="3" t="s">
        <v>85</v>
      </c>
      <c r="C13" s="3"/>
      <c r="D13" s="5">
        <v>45292</v>
      </c>
      <c r="E13" s="4">
        <v>12500</v>
      </c>
      <c r="F13" s="3" t="s">
        <v>25</v>
      </c>
      <c r="G13" s="3" t="s">
        <v>37</v>
      </c>
      <c r="H13" s="3" t="str">
        <f>IFERROR(VLOOKUP(tb_lancamentos[[#This Row],[Item]],tb_filtro_item[],2,0),"-")</f>
        <v>Receita</v>
      </c>
      <c r="I13" s="3" t="str">
        <f>IFERROR(VLOOKUP(tb_lancamentos[[#This Row],[Item]],tb_filtro_item[],4,0),"-")</f>
        <v>Outro</v>
      </c>
      <c r="J13" s="3" t="str">
        <f>IFERROR(VLOOKUP(tb_lancamentos[[#This Row],[Item]],tb_filtro_item[],5,0),"-")</f>
        <v>-</v>
      </c>
      <c r="K13" s="6">
        <f>DATE(YEAR(tb_lancamentos[[#This Row],[Movimentação]]),MONTH(tb_lancamentos[[#This Row],[Movimentação]]),1)</f>
        <v>45292</v>
      </c>
      <c r="L13" s="3">
        <f>IF(tb_lancamentos[[#This Row],[Movimentação]]="","-",YEAR(tb_lancamentos[[#This Row],[Movimentação]]))</f>
        <v>2024</v>
      </c>
      <c r="M13" s="6" t="str">
        <f>TEXT(tb_lancamentos[[#This Row],[Movimentação]],"MM")&amp;" -  "&amp;PROPER(TEXT(tb_lancamentos[[#This Row],[Movimentação]],"MMMM"))</f>
        <v>01 -  Janeiro</v>
      </c>
      <c r="N13" s="3">
        <f>IF('Fluxo de Caixa'!$C$6="Todos",1,IF('Fluxo de Caixa'!$C$6=tb_lancamentos[[#This Row],[Status Valor]],1,0))</f>
        <v>1</v>
      </c>
      <c r="O13" s="4">
        <f>IF(tb_lancamentos[[#This Row],[Fluxo]]="Receita",tb_lancamentos[[#This Row],[Valor]],0)</f>
        <v>12500</v>
      </c>
      <c r="P13" s="4">
        <f>IF(tb_lancamentos[[#This Row],[Fluxo]]="Despesa",tb_lancamentos[[#This Row],[Valor]],0)</f>
        <v>0</v>
      </c>
    </row>
    <row r="14" spans="2:16">
      <c r="B14" s="3" t="s">
        <v>85</v>
      </c>
      <c r="C14" s="3" t="s">
        <v>45</v>
      </c>
      <c r="D14" s="5">
        <v>45383</v>
      </c>
      <c r="E14" s="4">
        <v>15890</v>
      </c>
      <c r="F14" s="3" t="s">
        <v>77</v>
      </c>
      <c r="G14" s="3" t="s">
        <v>26</v>
      </c>
      <c r="H14" s="3" t="str">
        <f>IFERROR(VLOOKUP(tb_lancamentos[[#This Row],[Item]],tb_filtro_item[],2,0),"-")</f>
        <v>Receita</v>
      </c>
      <c r="I14" s="3" t="str">
        <f>IFERROR(VLOOKUP(tb_lancamentos[[#This Row],[Item]],tb_filtro_item[],4,0),"-")</f>
        <v>Outro</v>
      </c>
      <c r="J14" s="3" t="str">
        <f>IFERROR(VLOOKUP(tb_lancamentos[[#This Row],[Item]],tb_filtro_item[],5,0),"-")</f>
        <v>-</v>
      </c>
      <c r="K14" s="6">
        <f>DATE(YEAR(tb_lancamentos[[#This Row],[Movimentação]]),MONTH(tb_lancamentos[[#This Row],[Movimentação]]),1)</f>
        <v>45383</v>
      </c>
      <c r="L14" s="3">
        <f>IF(tb_lancamentos[[#This Row],[Movimentação]]="","-",YEAR(tb_lancamentos[[#This Row],[Movimentação]]))</f>
        <v>2024</v>
      </c>
      <c r="M14" s="6" t="str">
        <f>TEXT(tb_lancamentos[[#This Row],[Movimentação]],"MM")&amp;" -  "&amp;PROPER(TEXT(tb_lancamentos[[#This Row],[Movimentação]],"MMMM"))</f>
        <v>04 -  Abril</v>
      </c>
      <c r="N14" s="3">
        <f>IF('Fluxo de Caixa'!$C$6="Todos",1,IF('Fluxo de Caixa'!$C$6=tb_lancamentos[[#This Row],[Status Valor]],1,0))</f>
        <v>1</v>
      </c>
      <c r="O14" s="4">
        <f>IF(tb_lancamentos[[#This Row],[Fluxo]]="Receita",tb_lancamentos[[#This Row],[Valor]],0)</f>
        <v>15890</v>
      </c>
      <c r="P14" s="4">
        <f>IF(tb_lancamentos[[#This Row],[Fluxo]]="Despesa",tb_lancamentos[[#This Row],[Valor]],0)</f>
        <v>0</v>
      </c>
    </row>
    <row r="15" spans="2:16">
      <c r="B15" s="3" t="s">
        <v>85</v>
      </c>
      <c r="C15" s="3" t="s">
        <v>45</v>
      </c>
      <c r="D15" s="5">
        <f>EDATE(D14,1)</f>
        <v>45413</v>
      </c>
      <c r="E15" s="4">
        <v>15890</v>
      </c>
      <c r="F15" s="3" t="s">
        <v>25</v>
      </c>
      <c r="G15" s="3" t="s">
        <v>26</v>
      </c>
      <c r="H15" s="3" t="str">
        <f>IFERROR(VLOOKUP(tb_lancamentos[[#This Row],[Item]],tb_filtro_item[],2,0),"-")</f>
        <v>Receita</v>
      </c>
      <c r="I15" s="3" t="str">
        <f>IFERROR(VLOOKUP(tb_lancamentos[[#This Row],[Item]],tb_filtro_item[],4,0),"-")</f>
        <v>Outro</v>
      </c>
      <c r="J15" s="3" t="str">
        <f>IFERROR(VLOOKUP(tb_lancamentos[[#This Row],[Item]],tb_filtro_item[],5,0),"-")</f>
        <v>-</v>
      </c>
      <c r="K15" s="6">
        <f>DATE(YEAR(tb_lancamentos[[#This Row],[Movimentação]]),MONTH(tb_lancamentos[[#This Row],[Movimentação]]),1)</f>
        <v>45413</v>
      </c>
      <c r="L15" s="3">
        <f>IF(tb_lancamentos[[#This Row],[Movimentação]]="","-",YEAR(tb_lancamentos[[#This Row],[Movimentação]]))</f>
        <v>2024</v>
      </c>
      <c r="M15" s="6" t="str">
        <f>TEXT(tb_lancamentos[[#This Row],[Movimentação]],"MM")&amp;" -  "&amp;PROPER(TEXT(tb_lancamentos[[#This Row],[Movimentação]],"MMMM"))</f>
        <v>05 -  Maio</v>
      </c>
      <c r="N15" s="3">
        <f>IF('Fluxo de Caixa'!$C$6="Todos",1,IF('Fluxo de Caixa'!$C$6=tb_lancamentos[[#This Row],[Status Valor]],1,0))</f>
        <v>1</v>
      </c>
      <c r="O15" s="4">
        <f>IF(tb_lancamentos[[#This Row],[Fluxo]]="Receita",tb_lancamentos[[#This Row],[Valor]],0)</f>
        <v>15890</v>
      </c>
      <c r="P15" s="4">
        <f>IF(tb_lancamentos[[#This Row],[Fluxo]]="Despesa",tb_lancamentos[[#This Row],[Valor]],0)</f>
        <v>0</v>
      </c>
    </row>
    <row r="16" spans="2:16">
      <c r="B16" s="3" t="s">
        <v>84</v>
      </c>
      <c r="C16" s="3" t="s">
        <v>45</v>
      </c>
      <c r="D16" s="5">
        <f t="shared" ref="D16:D22" si="0">EDATE(D15,1)</f>
        <v>45444</v>
      </c>
      <c r="E16" s="4">
        <v>15890</v>
      </c>
      <c r="F16" s="3" t="s">
        <v>77</v>
      </c>
      <c r="G16" s="3" t="s">
        <v>26</v>
      </c>
      <c r="H16" s="3" t="str">
        <f>IFERROR(VLOOKUP(tb_lancamentos[[#This Row],[Item]],tb_filtro_item[],2,0),"-")</f>
        <v>Receita</v>
      </c>
      <c r="I16" s="3" t="str">
        <f>IFERROR(VLOOKUP(tb_lancamentos[[#This Row],[Item]],tb_filtro_item[],4,0),"-")</f>
        <v>Vendas</v>
      </c>
      <c r="J16" s="3" t="str">
        <f>IFERROR(VLOOKUP(tb_lancamentos[[#This Row],[Item]],tb_filtro_item[],5,0),"-")</f>
        <v>-</v>
      </c>
      <c r="K16" s="6">
        <f>DATE(YEAR(tb_lancamentos[[#This Row],[Movimentação]]),MONTH(tb_lancamentos[[#This Row],[Movimentação]]),1)</f>
        <v>45444</v>
      </c>
      <c r="L16" s="3">
        <f>IF(tb_lancamentos[[#This Row],[Movimentação]]="","-",YEAR(tb_lancamentos[[#This Row],[Movimentação]]))</f>
        <v>2024</v>
      </c>
      <c r="M16" s="6" t="str">
        <f>TEXT(tb_lancamentos[[#This Row],[Movimentação]],"MM")&amp;" -  "&amp;PROPER(TEXT(tb_lancamentos[[#This Row],[Movimentação]],"MMMM"))</f>
        <v>06 -  Junho</v>
      </c>
      <c r="N16" s="3">
        <f>IF('Fluxo de Caixa'!$C$6="Todos",1,IF('Fluxo de Caixa'!$C$6=tb_lancamentos[[#This Row],[Status Valor]],1,0))</f>
        <v>1</v>
      </c>
      <c r="O16" s="4">
        <f>IF(tb_lancamentos[[#This Row],[Fluxo]]="Receita",tb_lancamentos[[#This Row],[Valor]],0)</f>
        <v>15890</v>
      </c>
      <c r="P16" s="4">
        <f>IF(tb_lancamentos[[#This Row],[Fluxo]]="Despesa",tb_lancamentos[[#This Row],[Valor]],0)</f>
        <v>0</v>
      </c>
    </row>
    <row r="17" spans="2:16">
      <c r="B17" s="3" t="s">
        <v>85</v>
      </c>
      <c r="C17" s="3" t="s">
        <v>45</v>
      </c>
      <c r="D17" s="5">
        <f t="shared" si="0"/>
        <v>45474</v>
      </c>
      <c r="E17" s="4">
        <v>15890</v>
      </c>
      <c r="F17" s="3" t="s">
        <v>77</v>
      </c>
      <c r="G17" s="3" t="s">
        <v>26</v>
      </c>
      <c r="H17" s="3" t="str">
        <f>IFERROR(VLOOKUP(tb_lancamentos[[#This Row],[Item]],tb_filtro_item[],2,0),"-")</f>
        <v>Receita</v>
      </c>
      <c r="I17" s="3" t="str">
        <f>IFERROR(VLOOKUP(tb_lancamentos[[#This Row],[Item]],tb_filtro_item[],4,0),"-")</f>
        <v>Outro</v>
      </c>
      <c r="J17" s="3" t="str">
        <f>IFERROR(VLOOKUP(tb_lancamentos[[#This Row],[Item]],tb_filtro_item[],5,0),"-")</f>
        <v>-</v>
      </c>
      <c r="K17" s="6">
        <f>DATE(YEAR(tb_lancamentos[[#This Row],[Movimentação]]),MONTH(tb_lancamentos[[#This Row],[Movimentação]]),1)</f>
        <v>45474</v>
      </c>
      <c r="L17" s="3">
        <f>IF(tb_lancamentos[[#This Row],[Movimentação]]="","-",YEAR(tb_lancamentos[[#This Row],[Movimentação]]))</f>
        <v>2024</v>
      </c>
      <c r="M17" s="6" t="str">
        <f>TEXT(tb_lancamentos[[#This Row],[Movimentação]],"MM")&amp;" -  "&amp;PROPER(TEXT(tb_lancamentos[[#This Row],[Movimentação]],"MMMM"))</f>
        <v>07 -  Julho</v>
      </c>
      <c r="N17" s="3">
        <f>IF('Fluxo de Caixa'!$C$6="Todos",1,IF('Fluxo de Caixa'!$C$6=tb_lancamentos[[#This Row],[Status Valor]],1,0))</f>
        <v>1</v>
      </c>
      <c r="O17" s="4">
        <f>IF(tb_lancamentos[[#This Row],[Fluxo]]="Receita",tb_lancamentos[[#This Row],[Valor]],0)</f>
        <v>15890</v>
      </c>
      <c r="P17" s="4">
        <f>IF(tb_lancamentos[[#This Row],[Fluxo]]="Despesa",tb_lancamentos[[#This Row],[Valor]],0)</f>
        <v>0</v>
      </c>
    </row>
    <row r="18" spans="2:16">
      <c r="B18" s="3" t="s">
        <v>84</v>
      </c>
      <c r="C18" s="3" t="s">
        <v>45</v>
      </c>
      <c r="D18" s="5">
        <f t="shared" si="0"/>
        <v>45505</v>
      </c>
      <c r="E18" s="4">
        <v>15890</v>
      </c>
      <c r="F18" s="3" t="s">
        <v>78</v>
      </c>
      <c r="G18" s="3" t="s">
        <v>26</v>
      </c>
      <c r="H18" s="3" t="str">
        <f>IFERROR(VLOOKUP(tb_lancamentos[[#This Row],[Item]],tb_filtro_item[],2,0),"-")</f>
        <v>Receita</v>
      </c>
      <c r="I18" s="3" t="str">
        <f>IFERROR(VLOOKUP(tb_lancamentos[[#This Row],[Item]],tb_filtro_item[],4,0),"-")</f>
        <v>Vendas</v>
      </c>
      <c r="J18" s="3" t="str">
        <f>IFERROR(VLOOKUP(tb_lancamentos[[#This Row],[Item]],tb_filtro_item[],5,0),"-")</f>
        <v>-</v>
      </c>
      <c r="K18" s="6">
        <f>DATE(YEAR(tb_lancamentos[[#This Row],[Movimentação]]),MONTH(tb_lancamentos[[#This Row],[Movimentação]]),1)</f>
        <v>45505</v>
      </c>
      <c r="L18" s="3">
        <f>IF(tb_lancamentos[[#This Row],[Movimentação]]="","-",YEAR(tb_lancamentos[[#This Row],[Movimentação]]))</f>
        <v>2024</v>
      </c>
      <c r="M18" s="6" t="str">
        <f>TEXT(tb_lancamentos[[#This Row],[Movimentação]],"MM")&amp;" -  "&amp;PROPER(TEXT(tb_lancamentos[[#This Row],[Movimentação]],"MMMM"))</f>
        <v>08 -  Agosto</v>
      </c>
      <c r="N18" s="3">
        <f>IF('Fluxo de Caixa'!$C$6="Todos",1,IF('Fluxo de Caixa'!$C$6=tb_lancamentos[[#This Row],[Status Valor]],1,0))</f>
        <v>1</v>
      </c>
      <c r="O18" s="4">
        <f>IF(tb_lancamentos[[#This Row],[Fluxo]]="Receita",tb_lancamentos[[#This Row],[Valor]],0)</f>
        <v>15890</v>
      </c>
      <c r="P18" s="4">
        <f>IF(tb_lancamentos[[#This Row],[Fluxo]]="Despesa",tb_lancamentos[[#This Row],[Valor]],0)</f>
        <v>0</v>
      </c>
    </row>
    <row r="19" spans="2:16">
      <c r="B19" s="3" t="s">
        <v>85</v>
      </c>
      <c r="C19" s="3" t="s">
        <v>45</v>
      </c>
      <c r="D19" s="5">
        <f t="shared" si="0"/>
        <v>45536</v>
      </c>
      <c r="E19" s="4">
        <v>15890</v>
      </c>
      <c r="F19" s="3" t="s">
        <v>78</v>
      </c>
      <c r="G19" s="3" t="s">
        <v>26</v>
      </c>
      <c r="H19" s="3" t="str">
        <f>IFERROR(VLOOKUP(tb_lancamentos[[#This Row],[Item]],tb_filtro_item[],2,0),"-")</f>
        <v>Receita</v>
      </c>
      <c r="I19" s="3" t="str">
        <f>IFERROR(VLOOKUP(tb_lancamentos[[#This Row],[Item]],tb_filtro_item[],4,0),"-")</f>
        <v>Outro</v>
      </c>
      <c r="J19" s="3" t="str">
        <f>IFERROR(VLOOKUP(tb_lancamentos[[#This Row],[Item]],tb_filtro_item[],5,0),"-")</f>
        <v>-</v>
      </c>
      <c r="K19" s="6">
        <f>DATE(YEAR(tb_lancamentos[[#This Row],[Movimentação]]),MONTH(tb_lancamentos[[#This Row],[Movimentação]]),1)</f>
        <v>45536</v>
      </c>
      <c r="L19" s="3">
        <f>IF(tb_lancamentos[[#This Row],[Movimentação]]="","-",YEAR(tb_lancamentos[[#This Row],[Movimentação]]))</f>
        <v>2024</v>
      </c>
      <c r="M19" s="6" t="str">
        <f>TEXT(tb_lancamentos[[#This Row],[Movimentação]],"MM")&amp;" -  "&amp;PROPER(TEXT(tb_lancamentos[[#This Row],[Movimentação]],"MMMM"))</f>
        <v>09 -  Setembro</v>
      </c>
      <c r="N19" s="3">
        <f>IF('Fluxo de Caixa'!$C$6="Todos",1,IF('Fluxo de Caixa'!$C$6=tb_lancamentos[[#This Row],[Status Valor]],1,0))</f>
        <v>1</v>
      </c>
      <c r="O19" s="4">
        <f>IF(tb_lancamentos[[#This Row],[Fluxo]]="Receita",tb_lancamentos[[#This Row],[Valor]],0)</f>
        <v>15890</v>
      </c>
      <c r="P19" s="4">
        <f>IF(tb_lancamentos[[#This Row],[Fluxo]]="Despesa",tb_lancamentos[[#This Row],[Valor]],0)</f>
        <v>0</v>
      </c>
    </row>
    <row r="20" spans="2:16">
      <c r="B20" s="3" t="s">
        <v>86</v>
      </c>
      <c r="C20" s="3" t="s">
        <v>45</v>
      </c>
      <c r="D20" s="5">
        <f t="shared" si="0"/>
        <v>45566</v>
      </c>
      <c r="E20" s="4">
        <v>15890</v>
      </c>
      <c r="F20" s="3" t="s">
        <v>77</v>
      </c>
      <c r="G20" s="3" t="s">
        <v>26</v>
      </c>
      <c r="H20" s="3" t="str">
        <f>IFERROR(VLOOKUP(tb_lancamentos[[#This Row],[Item]],tb_filtro_item[],2,0),"-")</f>
        <v>Receita</v>
      </c>
      <c r="I20" s="3" t="str">
        <f>IFERROR(VLOOKUP(tb_lancamentos[[#This Row],[Item]],tb_filtro_item[],4,0),"-")</f>
        <v>Captação</v>
      </c>
      <c r="J20" s="3" t="str">
        <f>IFERROR(VLOOKUP(tb_lancamentos[[#This Row],[Item]],tb_filtro_item[],5,0),"-")</f>
        <v>-</v>
      </c>
      <c r="K20" s="6">
        <f>DATE(YEAR(tb_lancamentos[[#This Row],[Movimentação]]),MONTH(tb_lancamentos[[#This Row],[Movimentação]]),1)</f>
        <v>45566</v>
      </c>
      <c r="L20" s="3">
        <f>IF(tb_lancamentos[[#This Row],[Movimentação]]="","-",YEAR(tb_lancamentos[[#This Row],[Movimentação]]))</f>
        <v>2024</v>
      </c>
      <c r="M20" s="6" t="str">
        <f>TEXT(tb_lancamentos[[#This Row],[Movimentação]],"MM")&amp;" -  "&amp;PROPER(TEXT(tb_lancamentos[[#This Row],[Movimentação]],"MMMM"))</f>
        <v>10 -  Outubro</v>
      </c>
      <c r="N20" s="3">
        <f>IF('Fluxo de Caixa'!$C$6="Todos",1,IF('Fluxo de Caixa'!$C$6=tb_lancamentos[[#This Row],[Status Valor]],1,0))</f>
        <v>1</v>
      </c>
      <c r="O20" s="4">
        <f>IF(tb_lancamentos[[#This Row],[Fluxo]]="Receita",tb_lancamentos[[#This Row],[Valor]],0)</f>
        <v>15890</v>
      </c>
      <c r="P20" s="4">
        <f>IF(tb_lancamentos[[#This Row],[Fluxo]]="Despesa",tb_lancamentos[[#This Row],[Valor]],0)</f>
        <v>0</v>
      </c>
    </row>
    <row r="21" spans="2:16">
      <c r="B21" s="3" t="s">
        <v>85</v>
      </c>
      <c r="C21" s="3" t="s">
        <v>45</v>
      </c>
      <c r="D21" s="5">
        <f t="shared" si="0"/>
        <v>45597</v>
      </c>
      <c r="E21" s="4">
        <v>15890</v>
      </c>
      <c r="F21" s="3" t="s">
        <v>77</v>
      </c>
      <c r="G21" s="3" t="s">
        <v>26</v>
      </c>
      <c r="H21" s="3" t="str">
        <f>IFERROR(VLOOKUP(tb_lancamentos[[#This Row],[Item]],tb_filtro_item[],2,0),"-")</f>
        <v>Receita</v>
      </c>
      <c r="I21" s="3" t="str">
        <f>IFERROR(VLOOKUP(tb_lancamentos[[#This Row],[Item]],tb_filtro_item[],4,0),"-")</f>
        <v>Outro</v>
      </c>
      <c r="J21" s="3" t="str">
        <f>IFERROR(VLOOKUP(tb_lancamentos[[#This Row],[Item]],tb_filtro_item[],5,0),"-")</f>
        <v>-</v>
      </c>
      <c r="K21" s="6">
        <f>DATE(YEAR(tb_lancamentos[[#This Row],[Movimentação]]),MONTH(tb_lancamentos[[#This Row],[Movimentação]]),1)</f>
        <v>45597</v>
      </c>
      <c r="L21" s="3">
        <f>IF(tb_lancamentos[[#This Row],[Movimentação]]="","-",YEAR(tb_lancamentos[[#This Row],[Movimentação]]))</f>
        <v>2024</v>
      </c>
      <c r="M21" s="6" t="str">
        <f>TEXT(tb_lancamentos[[#This Row],[Movimentação]],"MM")&amp;" -  "&amp;PROPER(TEXT(tb_lancamentos[[#This Row],[Movimentação]],"MMMM"))</f>
        <v>11 -  Novembro</v>
      </c>
      <c r="N21" s="3">
        <f>IF('Fluxo de Caixa'!$C$6="Todos",1,IF('Fluxo de Caixa'!$C$6=tb_lancamentos[[#This Row],[Status Valor]],1,0))</f>
        <v>1</v>
      </c>
      <c r="O21" s="4">
        <f>IF(tb_lancamentos[[#This Row],[Fluxo]]="Receita",tb_lancamentos[[#This Row],[Valor]],0)</f>
        <v>15890</v>
      </c>
      <c r="P21" s="4">
        <f>IF(tb_lancamentos[[#This Row],[Fluxo]]="Despesa",tb_lancamentos[[#This Row],[Valor]],0)</f>
        <v>0</v>
      </c>
    </row>
    <row r="22" spans="2:16">
      <c r="B22" s="3" t="s">
        <v>86</v>
      </c>
      <c r="C22" s="3" t="s">
        <v>45</v>
      </c>
      <c r="D22" s="5">
        <f t="shared" si="0"/>
        <v>45627</v>
      </c>
      <c r="E22" s="4">
        <v>15890</v>
      </c>
      <c r="F22" s="3" t="s">
        <v>77</v>
      </c>
      <c r="G22" s="3" t="s">
        <v>26</v>
      </c>
      <c r="H22" s="3" t="str">
        <f>IFERROR(VLOOKUP(tb_lancamentos[[#This Row],[Item]],tb_filtro_item[],2,0),"-")</f>
        <v>Receita</v>
      </c>
      <c r="I22" s="3" t="str">
        <f>IFERROR(VLOOKUP(tb_lancamentos[[#This Row],[Item]],tb_filtro_item[],4,0),"-")</f>
        <v>Captação</v>
      </c>
      <c r="J22" s="3" t="str">
        <f>IFERROR(VLOOKUP(tb_lancamentos[[#This Row],[Item]],tb_filtro_item[],5,0),"-")</f>
        <v>-</v>
      </c>
      <c r="K22" s="6">
        <f>DATE(YEAR(tb_lancamentos[[#This Row],[Movimentação]]),MONTH(tb_lancamentos[[#This Row],[Movimentação]]),1)</f>
        <v>45627</v>
      </c>
      <c r="L22" s="3">
        <f>IF(tb_lancamentos[[#This Row],[Movimentação]]="","-",YEAR(tb_lancamentos[[#This Row],[Movimentação]]))</f>
        <v>2024</v>
      </c>
      <c r="M22" s="6" t="str">
        <f>TEXT(tb_lancamentos[[#This Row],[Movimentação]],"MM")&amp;" -  "&amp;PROPER(TEXT(tb_lancamentos[[#This Row],[Movimentação]],"MMMM"))</f>
        <v>12 -  Dezembro</v>
      </c>
      <c r="N22" s="3">
        <f>IF('Fluxo de Caixa'!$C$6="Todos",1,IF('Fluxo de Caixa'!$C$6=tb_lancamentos[[#This Row],[Status Valor]],1,0))</f>
        <v>1</v>
      </c>
      <c r="O22" s="4">
        <f>IF(tb_lancamentos[[#This Row],[Fluxo]]="Receita",tb_lancamentos[[#This Row],[Valor]],0)</f>
        <v>15890</v>
      </c>
      <c r="P22" s="4">
        <f>IF(tb_lancamentos[[#This Row],[Fluxo]]="Despesa",tb_lancamentos[[#This Row],[Valor]],0)</f>
        <v>0</v>
      </c>
    </row>
    <row r="23" spans="2:16">
      <c r="B23" s="3" t="s">
        <v>85</v>
      </c>
      <c r="C23" s="3" t="s">
        <v>45</v>
      </c>
      <c r="D23" s="5">
        <v>45352</v>
      </c>
      <c r="E23" s="4">
        <v>15890</v>
      </c>
      <c r="F23" s="3" t="s">
        <v>77</v>
      </c>
      <c r="G23" s="3" t="s">
        <v>26</v>
      </c>
      <c r="H23" s="3" t="str">
        <f>IFERROR(VLOOKUP(tb_lancamentos[[#This Row],[Item]],tb_filtro_item[],2,0),"-")</f>
        <v>Receita</v>
      </c>
      <c r="I23" s="3" t="str">
        <f>IFERROR(VLOOKUP(tb_lancamentos[[#This Row],[Item]],tb_filtro_item[],4,0),"-")</f>
        <v>Outro</v>
      </c>
      <c r="J23" s="3" t="str">
        <f>IFERROR(VLOOKUP(tb_lancamentos[[#This Row],[Item]],tb_filtro_item[],5,0),"-")</f>
        <v>-</v>
      </c>
      <c r="K23" s="6">
        <f>DATE(YEAR(tb_lancamentos[[#This Row],[Movimentação]]),MONTH(tb_lancamentos[[#This Row],[Movimentação]]),1)</f>
        <v>45352</v>
      </c>
      <c r="L23" s="3">
        <f>IF(tb_lancamentos[[#This Row],[Movimentação]]="","-",YEAR(tb_lancamentos[[#This Row],[Movimentação]]))</f>
        <v>2024</v>
      </c>
      <c r="M23" s="6" t="str">
        <f>TEXT(tb_lancamentos[[#This Row],[Movimentação]],"MM")&amp;" -  "&amp;PROPER(TEXT(tb_lancamentos[[#This Row],[Movimentação]],"MMMM"))</f>
        <v>03 -  Março</v>
      </c>
      <c r="N23" s="3">
        <f>IF('Fluxo de Caixa'!$C$6="Todos",1,IF('Fluxo de Caixa'!$C$6=tb_lancamentos[[#This Row],[Status Valor]],1,0))</f>
        <v>1</v>
      </c>
      <c r="O23" s="4">
        <f>IF(tb_lancamentos[[#This Row],[Fluxo]]="Receita",tb_lancamentos[[#This Row],[Valor]],0)</f>
        <v>15890</v>
      </c>
      <c r="P23" s="4">
        <f>IF(tb_lancamentos[[#This Row],[Fluxo]]="Despesa",tb_lancamentos[[#This Row],[Valor]],0)</f>
        <v>0</v>
      </c>
    </row>
    <row r="24" spans="2:16">
      <c r="B24" s="3" t="s">
        <v>34</v>
      </c>
      <c r="C24" s="3"/>
      <c r="D24" s="5">
        <v>45444</v>
      </c>
      <c r="E24" s="4">
        <v>4677</v>
      </c>
      <c r="F24" s="3" t="s">
        <v>77</v>
      </c>
      <c r="G24" s="3" t="s">
        <v>26</v>
      </c>
      <c r="H24" s="3" t="str">
        <f>IFERROR(VLOOKUP(tb_lancamentos[[#This Row],[Item]],tb_filtro_item[],2,0),"-")</f>
        <v>Despesa</v>
      </c>
      <c r="I24" s="3" t="str">
        <f>IFERROR(VLOOKUP(tb_lancamentos[[#This Row],[Item]],tb_filtro_item[],4,0),"-")</f>
        <v>Custo Operação</v>
      </c>
      <c r="J24" s="3" t="str">
        <f>IFERROR(VLOOKUP(tb_lancamentos[[#This Row],[Item]],tb_filtro_item[],5,0),"-")</f>
        <v>-</v>
      </c>
      <c r="K24" s="6">
        <f>DATE(YEAR(tb_lancamentos[[#This Row],[Movimentação]]),MONTH(tb_lancamentos[[#This Row],[Movimentação]]),1)</f>
        <v>45444</v>
      </c>
      <c r="L24" s="3">
        <f>IF(tb_lancamentos[[#This Row],[Movimentação]]="","-",YEAR(tb_lancamentos[[#This Row],[Movimentação]]))</f>
        <v>2024</v>
      </c>
      <c r="M24" s="6" t="str">
        <f>TEXT(tb_lancamentos[[#This Row],[Movimentação]],"MM")&amp;" -  "&amp;PROPER(TEXT(tb_lancamentos[[#This Row],[Movimentação]],"MMMM"))</f>
        <v>06 -  Junho</v>
      </c>
      <c r="N24" s="3">
        <f>IF('Fluxo de Caixa'!$C$6="Todos",1,IF('Fluxo de Caixa'!$C$6=tb_lancamentos[[#This Row],[Status Valor]],1,0))</f>
        <v>1</v>
      </c>
      <c r="O24" s="4">
        <f>IF(tb_lancamentos[[#This Row],[Fluxo]]="Receita",tb_lancamentos[[#This Row],[Valor]],0)</f>
        <v>0</v>
      </c>
      <c r="P24" s="4">
        <f>IF(tb_lancamentos[[#This Row],[Fluxo]]="Despesa",tb_lancamentos[[#This Row],[Valor]],0)</f>
        <v>4677</v>
      </c>
    </row>
  </sheetData>
  <dataValidations count="4">
    <dataValidation type="list" allowBlank="1" showInputMessage="1" showErrorMessage="1" sqref="B6:B24" xr:uid="{947DCF50-3427-CF4C-8A65-300FB1224AC0}">
      <formula1>ls_filtro_item</formula1>
    </dataValidation>
    <dataValidation type="list" allowBlank="1" showInputMessage="1" showErrorMessage="1" sqref="F6:F24" xr:uid="{9E3B3C00-711D-504F-BDF2-387B35573473}">
      <formula1>ls_filtro_banco</formula1>
    </dataValidation>
    <dataValidation type="list" allowBlank="1" showInputMessage="1" showErrorMessage="1" sqref="G6:G24" xr:uid="{977C482D-178B-DF4E-AD5F-4C75549AF059}">
      <formula1>"Realizado,Provisão"</formula1>
    </dataValidation>
    <dataValidation type="decimal" allowBlank="1" showInputMessage="1" showErrorMessage="1" sqref="E6:E24" xr:uid="{4A534741-ED53-6D41-A17D-871CCEA9BFD6}">
      <formula1>0</formula1>
      <formula2>1E+22</formula2>
    </dataValidation>
  </dataValidation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8D67-E954-2640-B7BB-940E7F19DB32}">
  <dimension ref="B1:H30"/>
  <sheetViews>
    <sheetView showGridLines="0" showRowColHeaders="0" zoomScale="150" zoomScaleNormal="120" workbookViewId="0">
      <selection activeCell="G21" sqref="G21"/>
    </sheetView>
  </sheetViews>
  <sheetFormatPr baseColWidth="10" defaultRowHeight="13"/>
  <cols>
    <col min="1" max="1" width="2.83203125" customWidth="1"/>
    <col min="2" max="2" width="30.1640625" customWidth="1"/>
    <col min="3" max="3" width="10.6640625" customWidth="1"/>
    <col min="4" max="5" width="29.5" customWidth="1"/>
    <col min="6" max="6" width="4.83203125" customWidth="1"/>
    <col min="7" max="7" width="15" customWidth="1"/>
    <col min="8" max="8" width="24.1640625" customWidth="1"/>
  </cols>
  <sheetData>
    <row r="1" spans="2:8" ht="35" customHeight="1"/>
    <row r="3" spans="2:8" ht="5" customHeight="1"/>
    <row r="4" spans="2:8">
      <c r="B4" s="1" t="s">
        <v>80</v>
      </c>
    </row>
    <row r="5" spans="2:8">
      <c r="B5" s="16" t="s">
        <v>81</v>
      </c>
    </row>
    <row r="6" spans="2:8">
      <c r="B6" s="30" t="s">
        <v>5</v>
      </c>
      <c r="C6" s="3" t="s">
        <v>2</v>
      </c>
      <c r="D6" s="3" t="s">
        <v>0</v>
      </c>
      <c r="E6" s="3" t="s">
        <v>6</v>
      </c>
      <c r="G6" s="3" t="s">
        <v>82</v>
      </c>
      <c r="H6" s="3" t="s">
        <v>40</v>
      </c>
    </row>
    <row r="7" spans="2:8">
      <c r="B7" t="str">
        <f>"("&amp;LEFT(tb_filtro_item[[#This Row],[Fluxo]],1)&amp;") - "&amp;tb_filtro_item[[#This Row],[Item]]</f>
        <v>(R) - Venda de Produto</v>
      </c>
      <c r="C7" t="s">
        <v>8</v>
      </c>
      <c r="D7" t="s">
        <v>74</v>
      </c>
      <c r="E7" t="s">
        <v>27</v>
      </c>
      <c r="G7" t="s">
        <v>25</v>
      </c>
      <c r="H7" t="s">
        <v>42</v>
      </c>
    </row>
    <row r="8" spans="2:8">
      <c r="B8" t="str">
        <f>"("&amp;LEFT(tb_filtro_item[[#This Row],[Fluxo]],1)&amp;") - "&amp;tb_filtro_item[[#This Row],[Item]]</f>
        <v>(R) - Crédito/Financiamento</v>
      </c>
      <c r="C8" t="s">
        <v>8</v>
      </c>
      <c r="D8" t="s">
        <v>62</v>
      </c>
      <c r="E8" t="s">
        <v>63</v>
      </c>
      <c r="G8" t="s">
        <v>77</v>
      </c>
      <c r="H8" t="s">
        <v>41</v>
      </c>
    </row>
    <row r="9" spans="2:8">
      <c r="B9" t="str">
        <f>"("&amp;LEFT(tb_filtro_item[[#This Row],[Fluxo]],1)&amp;") - "&amp;tb_filtro_item[[#This Row],[Item]]</f>
        <v>(R) - Outro</v>
      </c>
      <c r="C9" t="s">
        <v>8</v>
      </c>
      <c r="D9" t="s">
        <v>64</v>
      </c>
      <c r="E9" t="s">
        <v>64</v>
      </c>
      <c r="G9" t="s">
        <v>78</v>
      </c>
      <c r="H9" t="s">
        <v>41</v>
      </c>
    </row>
    <row r="10" spans="2:8">
      <c r="B10" t="str">
        <f>"("&amp;LEFT(tb_filtro_item[[#This Row],[Fluxo]],1)&amp;") - "&amp;tb_filtro_item[[#This Row],[Item]]</f>
        <v>(D) - Imposto</v>
      </c>
      <c r="C10" t="s">
        <v>9</v>
      </c>
      <c r="D10" t="s">
        <v>76</v>
      </c>
      <c r="E10" t="s">
        <v>76</v>
      </c>
      <c r="G10" t="s">
        <v>79</v>
      </c>
      <c r="H10" t="s">
        <v>41</v>
      </c>
    </row>
    <row r="11" spans="2:8">
      <c r="B11" t="str">
        <f>"("&amp;LEFT(tb_filtro_item[[#This Row],[Fluxo]],1)&amp;") - "&amp;tb_filtro_item[[#This Row],[Item]]</f>
        <v>(D) - Matéria Prima</v>
      </c>
      <c r="C11" t="s">
        <v>9</v>
      </c>
      <c r="D11" t="s">
        <v>10</v>
      </c>
      <c r="E11" t="s">
        <v>11</v>
      </c>
    </row>
    <row r="12" spans="2:8">
      <c r="B12" t="str">
        <f>"("&amp;LEFT(tb_filtro_item[[#This Row],[Fluxo]],1)&amp;") - "&amp;tb_filtro_item[[#This Row],[Item]]</f>
        <v>(D) - Aluguel</v>
      </c>
      <c r="C12" t="s">
        <v>9</v>
      </c>
      <c r="D12" t="s">
        <v>20</v>
      </c>
      <c r="E12" t="s">
        <v>68</v>
      </c>
    </row>
    <row r="13" spans="2:8">
      <c r="B13" t="str">
        <f>"("&amp;LEFT(tb_filtro_item[[#This Row],[Fluxo]],1)&amp;") - "&amp;tb_filtro_item[[#This Row],[Item]]</f>
        <v>(D) - Água</v>
      </c>
      <c r="C13" t="s">
        <v>9</v>
      </c>
      <c r="D13" t="s">
        <v>22</v>
      </c>
      <c r="E13" t="s">
        <v>68</v>
      </c>
    </row>
    <row r="14" spans="2:8">
      <c r="B14" t="str">
        <f>"("&amp;LEFT(tb_filtro_item[[#This Row],[Fluxo]],1)&amp;") - "&amp;tb_filtro_item[[#This Row],[Item]]</f>
        <v>(D) - Energia Elétrica</v>
      </c>
      <c r="C14" t="s">
        <v>9</v>
      </c>
      <c r="D14" t="s">
        <v>21</v>
      </c>
      <c r="E14" t="s">
        <v>68</v>
      </c>
    </row>
    <row r="15" spans="2:8">
      <c r="B15" t="str">
        <f>"("&amp;LEFT(tb_filtro_item[[#This Row],[Fluxo]],1)&amp;") - "&amp;tb_filtro_item[[#This Row],[Item]]</f>
        <v>(D) - Telefone</v>
      </c>
      <c r="C15" t="s">
        <v>9</v>
      </c>
      <c r="D15" t="s">
        <v>13</v>
      </c>
      <c r="E15" t="s">
        <v>68</v>
      </c>
    </row>
    <row r="16" spans="2:8">
      <c r="B16" t="str">
        <f>"("&amp;LEFT(tb_filtro_item[[#This Row],[Fluxo]],1)&amp;") - "&amp;tb_filtro_item[[#This Row],[Item]]</f>
        <v>(D) - Combustível</v>
      </c>
      <c r="C16" t="s">
        <v>9</v>
      </c>
      <c r="D16" t="s">
        <v>66</v>
      </c>
      <c r="E16" t="s">
        <v>68</v>
      </c>
    </row>
    <row r="17" spans="2:5">
      <c r="B17" t="str">
        <f>"("&amp;LEFT(tb_filtro_item[[#This Row],[Fluxo]],1)&amp;") - "&amp;tb_filtro_item[[#This Row],[Item]]</f>
        <v>(D) - Manutenção</v>
      </c>
      <c r="C17" t="s">
        <v>9</v>
      </c>
      <c r="D17" t="s">
        <v>67</v>
      </c>
      <c r="E17" t="s">
        <v>68</v>
      </c>
    </row>
    <row r="18" spans="2:5">
      <c r="B18" t="str">
        <f>"("&amp;LEFT(tb_filtro_item[[#This Row],[Fluxo]],1)&amp;") - "&amp;tb_filtro_item[[#This Row],[Item]]</f>
        <v>(D) - Salário</v>
      </c>
      <c r="C18" t="s">
        <v>9</v>
      </c>
      <c r="D18" t="s">
        <v>75</v>
      </c>
      <c r="E18" t="s">
        <v>60</v>
      </c>
    </row>
    <row r="19" spans="2:5">
      <c r="B19" t="str">
        <f>"("&amp;LEFT(tb_filtro_item[[#This Row],[Fluxo]],1)&amp;") - "&amp;tb_filtro_item[[#This Row],[Item]]</f>
        <v>(D) - FGTS</v>
      </c>
      <c r="C19" t="s">
        <v>9</v>
      </c>
      <c r="D19" t="s">
        <v>12</v>
      </c>
      <c r="E19" t="s">
        <v>61</v>
      </c>
    </row>
    <row r="20" spans="2:5">
      <c r="B20" t="str">
        <f>"("&amp;LEFT(tb_filtro_item[[#This Row],[Fluxo]],1)&amp;") - "&amp;tb_filtro_item[[#This Row],[Item]]</f>
        <v>(D) - INSS a Recolher</v>
      </c>
      <c r="C20" t="s">
        <v>9</v>
      </c>
      <c r="D20" t="s">
        <v>19</v>
      </c>
      <c r="E20" t="s">
        <v>61</v>
      </c>
    </row>
    <row r="21" spans="2:5">
      <c r="B21" t="str">
        <f>"("&amp;LEFT(tb_filtro_item[[#This Row],[Fluxo]],1)&amp;") - "&amp;tb_filtro_item[[#This Row],[Item]]</f>
        <v>(D) - Vale Transporte</v>
      </c>
      <c r="C21" t="s">
        <v>9</v>
      </c>
      <c r="D21" t="s">
        <v>15</v>
      </c>
      <c r="E21" t="s">
        <v>60</v>
      </c>
    </row>
    <row r="22" spans="2:5">
      <c r="B22" t="str">
        <f>"("&amp;LEFT(tb_filtro_item[[#This Row],[Fluxo]],1)&amp;") - "&amp;tb_filtro_item[[#This Row],[Item]]</f>
        <v>(D) - Vale Alimentação</v>
      </c>
      <c r="C22" t="s">
        <v>9</v>
      </c>
      <c r="D22" t="s">
        <v>16</v>
      </c>
      <c r="E22" t="s">
        <v>60</v>
      </c>
    </row>
    <row r="23" spans="2:5">
      <c r="B23" t="str">
        <f>"("&amp;LEFT(tb_filtro_item[[#This Row],[Fluxo]],1)&amp;") - "&amp;tb_filtro_item[[#This Row],[Item]]</f>
        <v>(D) - Vale Refeição</v>
      </c>
      <c r="C23" t="s">
        <v>9</v>
      </c>
      <c r="D23" t="s">
        <v>17</v>
      </c>
      <c r="E23" t="s">
        <v>60</v>
      </c>
    </row>
    <row r="24" spans="2:5">
      <c r="B24" t="str">
        <f>"("&amp;LEFT(tb_filtro_item[[#This Row],[Fluxo]],1)&amp;") - "&amp;tb_filtro_item[[#This Row],[Item]]</f>
        <v>(D) - 13° Salário</v>
      </c>
      <c r="C24" t="s">
        <v>9</v>
      </c>
      <c r="D24" t="s">
        <v>18</v>
      </c>
      <c r="E24" t="s">
        <v>60</v>
      </c>
    </row>
    <row r="25" spans="2:5">
      <c r="B25" t="str">
        <f>"("&amp;LEFT(tb_filtro_item[[#This Row],[Fluxo]],1)&amp;") - "&amp;tb_filtro_item[[#This Row],[Item]]</f>
        <v>(D) - Férias</v>
      </c>
      <c r="C25" t="s">
        <v>9</v>
      </c>
      <c r="D25" t="s">
        <v>14</v>
      </c>
      <c r="E25" t="s">
        <v>60</v>
      </c>
    </row>
    <row r="26" spans="2:5">
      <c r="B26" t="str">
        <f>"("&amp;LEFT(tb_filtro_item[[#This Row],[Fluxo]],1)&amp;") - "&amp;tb_filtro_item[[#This Row],[Item]]</f>
        <v>(D) - Verba Recisória</v>
      </c>
      <c r="C26" t="s">
        <v>9</v>
      </c>
      <c r="D26" t="s">
        <v>72</v>
      </c>
      <c r="E26" t="s">
        <v>60</v>
      </c>
    </row>
    <row r="27" spans="2:5">
      <c r="B27" t="str">
        <f>"("&amp;LEFT(tb_filtro_item[[#This Row],[Fluxo]],1)&amp;") - "&amp;tb_filtro_item[[#This Row],[Item]]</f>
        <v>(D) - Retirada Sócio</v>
      </c>
      <c r="C27" t="s">
        <v>9</v>
      </c>
      <c r="D27" t="s">
        <v>73</v>
      </c>
      <c r="E27" t="s">
        <v>65</v>
      </c>
    </row>
    <row r="28" spans="2:5">
      <c r="B28" t="str">
        <f>"("&amp;LEFT(tb_filtro_item[[#This Row],[Fluxo]],1)&amp;") - "&amp;tb_filtro_item[[#This Row],[Item]]</f>
        <v>(D) - Pgmt Empréstimo</v>
      </c>
      <c r="C28" t="s">
        <v>9</v>
      </c>
      <c r="D28" t="s">
        <v>69</v>
      </c>
      <c r="E28" t="s">
        <v>70</v>
      </c>
    </row>
    <row r="29" spans="2:5">
      <c r="B29" t="str">
        <f>"("&amp;LEFT(tb_filtro_item[[#This Row],[Fluxo]],1)&amp;") - "&amp;tb_filtro_item[[#This Row],[Item]]</f>
        <v>(D) - Financiamento</v>
      </c>
      <c r="C29" t="s">
        <v>9</v>
      </c>
      <c r="D29" t="s">
        <v>71</v>
      </c>
      <c r="E29" t="s">
        <v>70</v>
      </c>
    </row>
    <row r="30" spans="2:5">
      <c r="B30" t="str">
        <f>"("&amp;LEFT(tb_filtro_item[[#This Row],[Fluxo]],1)&amp;") - "&amp;tb_filtro_item[[#This Row],[Item]]</f>
        <v>(D) - Outro</v>
      </c>
      <c r="C30" t="s">
        <v>9</v>
      </c>
      <c r="D30" t="s">
        <v>64</v>
      </c>
      <c r="E30" t="s">
        <v>64</v>
      </c>
    </row>
  </sheetData>
  <dataValidations count="1">
    <dataValidation type="list" allowBlank="1" showInputMessage="1" showErrorMessage="1" sqref="C7:C30" xr:uid="{8BB18414-8DC5-3547-9DD0-C197905E8361}">
      <formula1>"Receita,Despesa"</formula1>
    </dataValidation>
  </dataValidations>
  <pageMargins left="0.511811024" right="0.511811024" top="0.78740157499999996" bottom="0.78740157499999996" header="0.31496062000000002" footer="0.31496062000000002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Instrução de Uso</vt:lpstr>
      <vt:lpstr>Dashboard</vt:lpstr>
      <vt:lpstr>DI_Dashboard</vt:lpstr>
      <vt:lpstr>Fluxo de Caixa</vt:lpstr>
      <vt:lpstr>Lançamentos</vt:lpstr>
      <vt:lpstr>Filtros</vt:lpstr>
      <vt:lpstr>ls_filtro_banco</vt:lpstr>
      <vt:lpstr>ls_filtro_item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Cursino Scaneiro Willys</dc:creator>
  <cp:lastModifiedBy>Gustavo Cursino Scaneiro Willys</cp:lastModifiedBy>
  <dcterms:created xsi:type="dcterms:W3CDTF">2024-02-04T22:48:00Z</dcterms:created>
  <dcterms:modified xsi:type="dcterms:W3CDTF">2024-02-14T17:17:23Z</dcterms:modified>
</cp:coreProperties>
</file>